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2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37470" windowHeight="12915"/>
  </bookViews>
  <sheets>
    <sheet name="fisa word" sheetId="4" r:id="rId1"/>
    <sheet name="A. Activitate didactica" sheetId="1" r:id="rId2"/>
    <sheet name="B. Activitate de cercetare" sheetId="5" r:id="rId3"/>
    <sheet name="C. Prestigiu profesional" sheetId="6" r:id="rId4"/>
    <sheet name="Sheet1" sheetId="8" r:id="rId5"/>
  </sheets>
  <calcPr calcId="144525"/>
</workbook>
</file>

<file path=xl/calcChain.xml><?xml version="1.0" encoding="utf-8"?>
<calcChain xmlns="http://schemas.openxmlformats.org/spreadsheetml/2006/main">
  <c r="D65" i="6" l="1"/>
  <c r="E65" i="6"/>
  <c r="C108" i="6"/>
  <c r="E110" i="6"/>
  <c r="E111" i="6"/>
  <c r="B118" i="4" l="1"/>
  <c r="D195" i="6" l="1"/>
  <c r="D184" i="6"/>
  <c r="E197" i="6"/>
  <c r="E185" i="6"/>
  <c r="E178" i="6"/>
  <c r="D183" i="6" l="1"/>
  <c r="E500" i="5"/>
  <c r="E112" i="6" l="1"/>
  <c r="E113" i="6"/>
  <c r="E109" i="6"/>
  <c r="D175" i="6"/>
  <c r="E108" i="6" l="1"/>
  <c r="K521" i="5"/>
  <c r="K518" i="5"/>
  <c r="K519" i="5"/>
  <c r="K520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17" i="5"/>
  <c r="K504" i="5"/>
  <c r="K503" i="5"/>
  <c r="K505" i="5"/>
  <c r="K506" i="5"/>
  <c r="K507" i="5"/>
  <c r="K508" i="5"/>
  <c r="K509" i="5"/>
  <c r="K510" i="5"/>
  <c r="K511" i="5"/>
  <c r="K512" i="5"/>
  <c r="K513" i="5"/>
  <c r="K514" i="5"/>
  <c r="K515" i="5"/>
  <c r="K502" i="5"/>
  <c r="G530" i="5" l="1"/>
  <c r="G547" i="5"/>
  <c r="G546" i="5"/>
  <c r="G545" i="5"/>
  <c r="G544" i="5"/>
  <c r="G543" i="5"/>
  <c r="G542" i="5"/>
  <c r="G541" i="5"/>
  <c r="G540" i="5"/>
  <c r="G539" i="5"/>
  <c r="G538" i="5"/>
  <c r="G537" i="5"/>
  <c r="G536" i="5"/>
  <c r="E535" i="5"/>
  <c r="B121" i="4" s="1"/>
  <c r="G534" i="5"/>
  <c r="G533" i="5"/>
  <c r="G532" i="5"/>
  <c r="G531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E516" i="5"/>
  <c r="B120" i="4" s="1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E501" i="5"/>
  <c r="E176" i="6"/>
  <c r="E175" i="6" s="1"/>
  <c r="E186" i="6"/>
  <c r="E187" i="6"/>
  <c r="E188" i="6"/>
  <c r="E189" i="6"/>
  <c r="E190" i="6"/>
  <c r="E191" i="6"/>
  <c r="H97" i="6"/>
  <c r="H98" i="6"/>
  <c r="H99" i="6"/>
  <c r="H100" i="6"/>
  <c r="H101" i="6"/>
  <c r="H102" i="6"/>
  <c r="H103" i="6"/>
  <c r="H104" i="6"/>
  <c r="H105" i="6"/>
  <c r="E97" i="6"/>
  <c r="E98" i="6"/>
  <c r="E99" i="6"/>
  <c r="E100" i="6"/>
  <c r="E101" i="6"/>
  <c r="E102" i="6"/>
  <c r="E103" i="6"/>
  <c r="E104" i="6"/>
  <c r="H85" i="6"/>
  <c r="H86" i="6"/>
  <c r="H87" i="6"/>
  <c r="H88" i="6"/>
  <c r="H89" i="6"/>
  <c r="H90" i="6"/>
  <c r="H91" i="6"/>
  <c r="H92" i="6"/>
  <c r="H93" i="6"/>
  <c r="E85" i="6"/>
  <c r="E86" i="6"/>
  <c r="E87" i="6"/>
  <c r="E88" i="6"/>
  <c r="E89" i="6"/>
  <c r="E90" i="6"/>
  <c r="E91" i="6"/>
  <c r="E92" i="6"/>
  <c r="E93" i="6"/>
  <c r="A7" i="6"/>
  <c r="A6" i="6"/>
  <c r="A4" i="6"/>
  <c r="A3" i="6"/>
  <c r="A1" i="6"/>
  <c r="A7" i="5"/>
  <c r="A6" i="5"/>
  <c r="A4" i="5"/>
  <c r="A3" i="5"/>
  <c r="A1" i="5"/>
  <c r="A7" i="1"/>
  <c r="A6" i="1"/>
  <c r="A4" i="1"/>
  <c r="A3" i="1"/>
  <c r="A1" i="1"/>
  <c r="H9" i="4"/>
  <c r="B9" i="6" s="1"/>
  <c r="G516" i="5" l="1"/>
  <c r="C120" i="4" s="1"/>
  <c r="B119" i="4"/>
  <c r="G501" i="5"/>
  <c r="G500" i="5" s="1"/>
  <c r="G535" i="5"/>
  <c r="C121" i="4" s="1"/>
  <c r="G8" i="5"/>
  <c r="G8" i="1"/>
  <c r="B136" i="4"/>
  <c r="D71" i="6"/>
  <c r="B137" i="4" s="1"/>
  <c r="E73" i="6"/>
  <c r="E74" i="6"/>
  <c r="E75" i="6"/>
  <c r="E76" i="6"/>
  <c r="E72" i="6"/>
  <c r="E67" i="6"/>
  <c r="E68" i="6"/>
  <c r="E69" i="6"/>
  <c r="E70" i="6"/>
  <c r="C119" i="4" l="1"/>
  <c r="E71" i="6"/>
  <c r="C137" i="4" s="1"/>
  <c r="G128" i="6"/>
  <c r="G129" i="6"/>
  <c r="G130" i="6"/>
  <c r="E130" i="6"/>
  <c r="E129" i="6"/>
  <c r="E126" i="6"/>
  <c r="E128" i="6"/>
  <c r="C118" i="4" l="1"/>
  <c r="H54" i="5"/>
  <c r="E133" i="6" l="1"/>
  <c r="H466" i="5"/>
  <c r="H460" i="5"/>
  <c r="H410" i="5"/>
  <c r="H388" i="5"/>
  <c r="H376" i="5"/>
  <c r="H343" i="5"/>
  <c r="H223" i="5"/>
  <c r="H205" i="5"/>
  <c r="H171" i="5"/>
  <c r="H165" i="5"/>
  <c r="H128" i="5"/>
  <c r="J109" i="5"/>
  <c r="H109" i="5"/>
  <c r="H99" i="5"/>
  <c r="H91" i="5"/>
  <c r="G37" i="5"/>
  <c r="H43" i="5"/>
  <c r="H23" i="5"/>
  <c r="H165" i="1"/>
  <c r="H120" i="1"/>
  <c r="H115" i="1"/>
  <c r="H93" i="1"/>
  <c r="H85" i="1"/>
  <c r="H77" i="1"/>
  <c r="H71" i="1"/>
  <c r="H58" i="1"/>
  <c r="H52" i="1"/>
  <c r="H46" i="1"/>
  <c r="H34" i="1"/>
  <c r="H23" i="1"/>
  <c r="H17" i="1"/>
  <c r="H21" i="1"/>
  <c r="C19" i="4" s="1"/>
  <c r="D155" i="6"/>
  <c r="E168" i="6"/>
  <c r="E167" i="6" s="1"/>
  <c r="E166" i="6"/>
  <c r="E198" i="6"/>
  <c r="E199" i="6"/>
  <c r="E196" i="6"/>
  <c r="C168" i="4"/>
  <c r="E174" i="6"/>
  <c r="E173" i="6" s="1"/>
  <c r="C166" i="4" s="1"/>
  <c r="E172" i="6"/>
  <c r="E171" i="6"/>
  <c r="E170" i="6"/>
  <c r="D160" i="6"/>
  <c r="E158" i="6"/>
  <c r="G156" i="6"/>
  <c r="E156" i="6"/>
  <c r="E146" i="6"/>
  <c r="C82" i="6"/>
  <c r="C95" i="6"/>
  <c r="H84" i="6"/>
  <c r="E84" i="6"/>
  <c r="H106" i="6"/>
  <c r="H107" i="6"/>
  <c r="E106" i="6"/>
  <c r="E107" i="6"/>
  <c r="E105" i="6"/>
  <c r="G62" i="6"/>
  <c r="G63" i="6"/>
  <c r="G64" i="6"/>
  <c r="G61" i="6"/>
  <c r="E61" i="6"/>
  <c r="E62" i="6"/>
  <c r="E63" i="6"/>
  <c r="E64" i="6"/>
  <c r="E60" i="6"/>
  <c r="D40" i="6"/>
  <c r="B145" i="4" l="1"/>
  <c r="C81" i="6"/>
  <c r="C167" i="4"/>
  <c r="B144" i="4"/>
  <c r="C145" i="4"/>
  <c r="G70" i="5"/>
  <c r="G71" i="5"/>
  <c r="G16" i="5"/>
  <c r="H72" i="5"/>
  <c r="H73" i="5"/>
  <c r="H70" i="5" s="1"/>
  <c r="H74" i="5"/>
  <c r="H75" i="5"/>
  <c r="H76" i="5"/>
  <c r="H77" i="5"/>
  <c r="G62" i="5"/>
  <c r="B58" i="4" s="1"/>
  <c r="H39" i="5"/>
  <c r="H40" i="5"/>
  <c r="H41" i="5"/>
  <c r="H42" i="5"/>
  <c r="H44" i="5"/>
  <c r="H45" i="5"/>
  <c r="H46" i="5"/>
  <c r="H47" i="5"/>
  <c r="H48" i="5"/>
  <c r="H49" i="5"/>
  <c r="H50" i="5"/>
  <c r="H51" i="5"/>
  <c r="H52" i="5"/>
  <c r="H53" i="5"/>
  <c r="H55" i="5"/>
  <c r="H56" i="5"/>
  <c r="H57" i="5"/>
  <c r="H58" i="5"/>
  <c r="H38" i="5"/>
  <c r="H19" i="5"/>
  <c r="H20" i="5"/>
  <c r="H21" i="5"/>
  <c r="H22" i="5"/>
  <c r="H24" i="5"/>
  <c r="H25" i="5"/>
  <c r="H26" i="5"/>
  <c r="H27" i="5"/>
  <c r="H28" i="5"/>
  <c r="H29" i="5"/>
  <c r="H30" i="5"/>
  <c r="H31" i="5"/>
  <c r="H32" i="5"/>
  <c r="H33" i="5"/>
  <c r="H34" i="5"/>
  <c r="H35" i="5"/>
  <c r="H18" i="5"/>
  <c r="G63" i="1"/>
  <c r="G62" i="1"/>
  <c r="H76" i="1"/>
  <c r="H72" i="1"/>
  <c r="H73" i="1"/>
  <c r="H70" i="1"/>
  <c r="H65" i="1"/>
  <c r="H62" i="1" s="1"/>
  <c r="H66" i="1"/>
  <c r="H67" i="1"/>
  <c r="H64" i="1"/>
  <c r="H63" i="1"/>
  <c r="H71" i="5" l="1"/>
  <c r="H69" i="5" s="1"/>
  <c r="C59" i="4" s="1"/>
  <c r="G69" i="5"/>
  <c r="B59" i="4" s="1"/>
  <c r="E143" i="6"/>
  <c r="H310" i="5" l="1"/>
  <c r="H311" i="5"/>
  <c r="H312" i="5"/>
  <c r="H308" i="5" s="1"/>
  <c r="H446" i="5" s="1"/>
  <c r="H313" i="5"/>
  <c r="H314" i="5"/>
  <c r="H315" i="5"/>
  <c r="H316" i="5"/>
  <c r="H309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63" i="5"/>
  <c r="H231" i="5"/>
  <c r="H232" i="5"/>
  <c r="H233" i="5"/>
  <c r="H234" i="5"/>
  <c r="H235" i="5"/>
  <c r="H236" i="5"/>
  <c r="H237" i="5"/>
  <c r="H238" i="5"/>
  <c r="H230" i="5"/>
  <c r="H64" i="5"/>
  <c r="H65" i="5"/>
  <c r="H66" i="5"/>
  <c r="H67" i="5"/>
  <c r="H476" i="5"/>
  <c r="H477" i="5"/>
  <c r="H478" i="5"/>
  <c r="H479" i="5"/>
  <c r="H417" i="5"/>
  <c r="H418" i="5"/>
  <c r="H419" i="5"/>
  <c r="H420" i="5"/>
  <c r="H421" i="5"/>
  <c r="H407" i="5"/>
  <c r="H408" i="5"/>
  <c r="H409" i="5"/>
  <c r="H411" i="5"/>
  <c r="H398" i="5"/>
  <c r="H399" i="5"/>
  <c r="H400" i="5"/>
  <c r="H401" i="5"/>
  <c r="H385" i="5"/>
  <c r="H386" i="5"/>
  <c r="H387" i="5"/>
  <c r="H389" i="5"/>
  <c r="H390" i="5"/>
  <c r="H391" i="5"/>
  <c r="H373" i="5"/>
  <c r="H374" i="5"/>
  <c r="H375" i="5"/>
  <c r="H377" i="5"/>
  <c r="H378" i="5"/>
  <c r="H379" i="5"/>
  <c r="H362" i="5"/>
  <c r="H363" i="5"/>
  <c r="H364" i="5"/>
  <c r="H365" i="5"/>
  <c r="H366" i="5"/>
  <c r="H367" i="5"/>
  <c r="H351" i="5"/>
  <c r="H352" i="5"/>
  <c r="H353" i="5"/>
  <c r="H354" i="5"/>
  <c r="H355" i="5"/>
  <c r="H341" i="5"/>
  <c r="H342" i="5"/>
  <c r="H344" i="5"/>
  <c r="H345" i="5"/>
  <c r="H331" i="5"/>
  <c r="H332" i="5"/>
  <c r="H333" i="5"/>
  <c r="H334" i="5"/>
  <c r="H335" i="5"/>
  <c r="H320" i="5"/>
  <c r="H321" i="5"/>
  <c r="H322" i="5"/>
  <c r="H323" i="5"/>
  <c r="H324" i="5"/>
  <c r="H301" i="5"/>
  <c r="H302" i="5"/>
  <c r="H303" i="5"/>
  <c r="H304" i="5"/>
  <c r="H305" i="5"/>
  <c r="H290" i="5"/>
  <c r="H291" i="5"/>
  <c r="H292" i="5"/>
  <c r="H293" i="5"/>
  <c r="H294" i="5"/>
  <c r="H279" i="5"/>
  <c r="H280" i="5"/>
  <c r="H281" i="5"/>
  <c r="H282" i="5"/>
  <c r="H283" i="5"/>
  <c r="H284" i="5"/>
  <c r="K264" i="5"/>
  <c r="K265" i="5"/>
  <c r="K266" i="5"/>
  <c r="K267" i="5"/>
  <c r="K268" i="5"/>
  <c r="K269" i="5"/>
  <c r="K270" i="5"/>
  <c r="K271" i="5"/>
  <c r="K272" i="5"/>
  <c r="K273" i="5"/>
  <c r="H253" i="5"/>
  <c r="K253" i="5"/>
  <c r="H254" i="5"/>
  <c r="K254" i="5"/>
  <c r="H255" i="5"/>
  <c r="K255" i="5"/>
  <c r="H256" i="5"/>
  <c r="K256" i="5"/>
  <c r="H257" i="5"/>
  <c r="K257" i="5"/>
  <c r="H258" i="5"/>
  <c r="K258" i="5"/>
  <c r="H242" i="5"/>
  <c r="H243" i="5"/>
  <c r="H244" i="5"/>
  <c r="H245" i="5"/>
  <c r="H246" i="5"/>
  <c r="K231" i="5"/>
  <c r="K232" i="5"/>
  <c r="K233" i="5"/>
  <c r="K234" i="5"/>
  <c r="K235" i="5"/>
  <c r="K236" i="5"/>
  <c r="H222" i="5"/>
  <c r="K222" i="5"/>
  <c r="H220" i="5"/>
  <c r="H438" i="5" s="1"/>
  <c r="K223" i="5"/>
  <c r="H224" i="5"/>
  <c r="K224" i="5"/>
  <c r="H225" i="5"/>
  <c r="K225" i="5"/>
  <c r="H212" i="5"/>
  <c r="H213" i="5"/>
  <c r="H214" i="5"/>
  <c r="H215" i="5"/>
  <c r="H202" i="5"/>
  <c r="H203" i="5"/>
  <c r="H204" i="5"/>
  <c r="H206" i="5"/>
  <c r="H194" i="5"/>
  <c r="H195" i="5"/>
  <c r="H196" i="5"/>
  <c r="H180" i="5"/>
  <c r="H182" i="5"/>
  <c r="H183" i="5"/>
  <c r="H184" i="5"/>
  <c r="H185" i="5"/>
  <c r="H186" i="5"/>
  <c r="H169" i="5"/>
  <c r="H433" i="5" s="1"/>
  <c r="H172" i="5"/>
  <c r="H173" i="5"/>
  <c r="H174" i="5"/>
  <c r="H175" i="5"/>
  <c r="H176" i="5"/>
  <c r="H177" i="5"/>
  <c r="H162" i="5"/>
  <c r="H163" i="5"/>
  <c r="H164" i="5"/>
  <c r="H144" i="5"/>
  <c r="H145" i="5"/>
  <c r="H146" i="5"/>
  <c r="H147" i="5"/>
  <c r="H148" i="5"/>
  <c r="H149" i="5"/>
  <c r="H150" i="5"/>
  <c r="H151" i="5"/>
  <c r="H152" i="5"/>
  <c r="H153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H127" i="5"/>
  <c r="H129" i="5"/>
  <c r="H130" i="5"/>
  <c r="H131" i="5"/>
  <c r="H132" i="5"/>
  <c r="H133" i="5"/>
  <c r="H134" i="5"/>
  <c r="H135" i="5"/>
  <c r="H136" i="5"/>
  <c r="H137" i="5"/>
  <c r="H138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81" i="5"/>
  <c r="H426" i="5" s="1"/>
  <c r="H83" i="5"/>
  <c r="H84" i="5"/>
  <c r="H85" i="5"/>
  <c r="H86" i="5"/>
  <c r="H98" i="5"/>
  <c r="H100" i="5"/>
  <c r="H101" i="5"/>
  <c r="H92" i="5"/>
  <c r="H89" i="5" s="1"/>
  <c r="H427" i="5" s="1"/>
  <c r="H200" i="1"/>
  <c r="H198" i="1" s="1"/>
  <c r="H216" i="1" s="1"/>
  <c r="H201" i="1"/>
  <c r="H202" i="1"/>
  <c r="H203" i="1"/>
  <c r="H204" i="1"/>
  <c r="H205" i="1"/>
  <c r="H191" i="1"/>
  <c r="H187" i="1" s="1"/>
  <c r="C47" i="4" s="1"/>
  <c r="H192" i="1"/>
  <c r="H193" i="1"/>
  <c r="H194" i="1"/>
  <c r="H195" i="1"/>
  <c r="H173" i="1"/>
  <c r="H174" i="1"/>
  <c r="H175" i="1"/>
  <c r="H176" i="1"/>
  <c r="H177" i="1"/>
  <c r="H164" i="1"/>
  <c r="H162" i="1" s="1"/>
  <c r="H211" i="1" s="1"/>
  <c r="H166" i="1"/>
  <c r="H102" i="1"/>
  <c r="H103" i="1"/>
  <c r="H104" i="1"/>
  <c r="H105" i="1"/>
  <c r="H106" i="1"/>
  <c r="H107" i="1"/>
  <c r="H91" i="1"/>
  <c r="H92" i="1"/>
  <c r="H94" i="1"/>
  <c r="H95" i="1"/>
  <c r="H96" i="1"/>
  <c r="H36" i="1"/>
  <c r="H33" i="1" s="1"/>
  <c r="H135" i="1" s="1"/>
  <c r="H37" i="1"/>
  <c r="H38" i="1"/>
  <c r="H39" i="1"/>
  <c r="H40" i="1"/>
  <c r="H25" i="1"/>
  <c r="H26" i="1"/>
  <c r="H22" i="1" s="1"/>
  <c r="H134" i="1" s="1"/>
  <c r="H27" i="1"/>
  <c r="H28" i="1"/>
  <c r="H29" i="1"/>
  <c r="H30" i="1"/>
  <c r="E182" i="6"/>
  <c r="E181" i="6"/>
  <c r="E180" i="6"/>
  <c r="D179" i="6"/>
  <c r="B170" i="4" s="1"/>
  <c r="E177" i="6"/>
  <c r="C169" i="4" s="1"/>
  <c r="C165" i="4"/>
  <c r="C164" i="4"/>
  <c r="C163" i="4"/>
  <c r="C161" i="4"/>
  <c r="E165" i="6"/>
  <c r="C160" i="4" s="1"/>
  <c r="H325" i="5"/>
  <c r="H326" i="5"/>
  <c r="H319" i="5"/>
  <c r="H276" i="5"/>
  <c r="C87" i="4" s="1"/>
  <c r="H277" i="5"/>
  <c r="H443" i="5" s="1"/>
  <c r="G287" i="5"/>
  <c r="B88" i="4" s="1"/>
  <c r="G288" i="5"/>
  <c r="G444" i="5" s="1"/>
  <c r="H288" i="5"/>
  <c r="H444" i="5" s="1"/>
  <c r="H287" i="5"/>
  <c r="C88" i="4" s="1"/>
  <c r="H295" i="5"/>
  <c r="H296" i="5"/>
  <c r="H289" i="5"/>
  <c r="H285" i="5"/>
  <c r="H286" i="5"/>
  <c r="H278" i="5"/>
  <c r="G276" i="5"/>
  <c r="B87" i="4" s="1"/>
  <c r="G277" i="5"/>
  <c r="G443" i="5" s="1"/>
  <c r="B157" i="4"/>
  <c r="B139" i="4"/>
  <c r="B140" i="4"/>
  <c r="B141" i="4"/>
  <c r="E78" i="6"/>
  <c r="C139" i="4" s="1"/>
  <c r="G494" i="5"/>
  <c r="B117" i="4" s="1"/>
  <c r="G489" i="5"/>
  <c r="B173" i="4"/>
  <c r="B172" i="4"/>
  <c r="B159" i="4"/>
  <c r="D157" i="6"/>
  <c r="B158" i="4" s="1"/>
  <c r="D144" i="6"/>
  <c r="B154" i="4" s="1"/>
  <c r="D131" i="6"/>
  <c r="B151" i="4" s="1"/>
  <c r="D120" i="6"/>
  <c r="B149" i="4" s="1"/>
  <c r="D116" i="6"/>
  <c r="B148" i="4" s="1"/>
  <c r="D59" i="6"/>
  <c r="B135" i="4" s="1"/>
  <c r="D53" i="6"/>
  <c r="D46" i="6"/>
  <c r="B132" i="4" s="1"/>
  <c r="B131" i="4"/>
  <c r="D33" i="6"/>
  <c r="B129" i="4" s="1"/>
  <c r="D27" i="6"/>
  <c r="B128" i="4" s="1"/>
  <c r="D22" i="6"/>
  <c r="B126" i="4" s="1"/>
  <c r="D18" i="6"/>
  <c r="B125" i="4" s="1"/>
  <c r="D14" i="6"/>
  <c r="B124" i="4" s="1"/>
  <c r="G482" i="5"/>
  <c r="B113" i="4" s="1"/>
  <c r="G474" i="5"/>
  <c r="B112" i="4" s="1"/>
  <c r="G468" i="5"/>
  <c r="B110" i="4" s="1"/>
  <c r="G463" i="5"/>
  <c r="B109" i="4" s="1"/>
  <c r="G458" i="5"/>
  <c r="B108" i="4" s="1"/>
  <c r="E155" i="6"/>
  <c r="C157" i="4" s="1"/>
  <c r="E162" i="6"/>
  <c r="E163" i="6"/>
  <c r="E164" i="6"/>
  <c r="E161" i="6"/>
  <c r="E127" i="6"/>
  <c r="E124" i="6" s="1"/>
  <c r="C150" i="4" s="1"/>
  <c r="G126" i="6"/>
  <c r="E96" i="6"/>
  <c r="E95" i="6" s="1"/>
  <c r="E83" i="6"/>
  <c r="E94" i="6"/>
  <c r="H94" i="6"/>
  <c r="H83" i="6"/>
  <c r="H96" i="6"/>
  <c r="E66" i="6"/>
  <c r="C136" i="4" s="1"/>
  <c r="E28" i="6"/>
  <c r="E24" i="6"/>
  <c r="E25" i="6"/>
  <c r="E23" i="6"/>
  <c r="E20" i="6"/>
  <c r="E21" i="6"/>
  <c r="E19" i="6"/>
  <c r="E16" i="6"/>
  <c r="E17" i="6"/>
  <c r="E15" i="6"/>
  <c r="G16" i="6"/>
  <c r="G17" i="6"/>
  <c r="H496" i="5"/>
  <c r="H497" i="5"/>
  <c r="H498" i="5"/>
  <c r="H495" i="5"/>
  <c r="H491" i="5"/>
  <c r="H492" i="5"/>
  <c r="H493" i="5"/>
  <c r="H490" i="5"/>
  <c r="H489" i="5" s="1"/>
  <c r="C116" i="4" s="1"/>
  <c r="H484" i="5"/>
  <c r="H485" i="5"/>
  <c r="H486" i="5"/>
  <c r="H483" i="5"/>
  <c r="H480" i="5"/>
  <c r="H481" i="5"/>
  <c r="H475" i="5"/>
  <c r="H470" i="5"/>
  <c r="H471" i="5"/>
  <c r="H472" i="5"/>
  <c r="H469" i="5"/>
  <c r="H465" i="5"/>
  <c r="H467" i="5"/>
  <c r="H464" i="5"/>
  <c r="H461" i="5"/>
  <c r="H462" i="5"/>
  <c r="H459" i="5"/>
  <c r="H412" i="5"/>
  <c r="H307" i="5"/>
  <c r="C91" i="4" s="1"/>
  <c r="H298" i="5"/>
  <c r="C90" i="4" s="1"/>
  <c r="H306" i="5"/>
  <c r="H300" i="5"/>
  <c r="H318" i="5"/>
  <c r="H447" i="5" s="1"/>
  <c r="G318" i="5"/>
  <c r="G447" i="5" s="1"/>
  <c r="H317" i="5"/>
  <c r="C92" i="4" s="1"/>
  <c r="G317" i="5"/>
  <c r="B92" i="4" s="1"/>
  <c r="G308" i="5"/>
  <c r="G446" i="5" s="1"/>
  <c r="G307" i="5"/>
  <c r="H299" i="5"/>
  <c r="H445" i="5" s="1"/>
  <c r="G299" i="5"/>
  <c r="G445" i="5" s="1"/>
  <c r="G298" i="5"/>
  <c r="B90" i="4" s="1"/>
  <c r="H252" i="5"/>
  <c r="K252" i="5"/>
  <c r="H261" i="5"/>
  <c r="C86" i="4" s="1"/>
  <c r="H262" i="5"/>
  <c r="H442" i="5" s="1"/>
  <c r="H259" i="5"/>
  <c r="H260" i="5"/>
  <c r="G262" i="5"/>
  <c r="G442" i="5" s="1"/>
  <c r="G261" i="5"/>
  <c r="B86" i="4" s="1"/>
  <c r="H251" i="5"/>
  <c r="H441" i="5" s="1"/>
  <c r="G251" i="5"/>
  <c r="G441" i="5" s="1"/>
  <c r="H250" i="5"/>
  <c r="C85" i="4" s="1"/>
  <c r="G250" i="5"/>
  <c r="B85" i="4" s="1"/>
  <c r="K275" i="5"/>
  <c r="K259" i="5"/>
  <c r="K260" i="5"/>
  <c r="K263" i="5"/>
  <c r="K274" i="5"/>
  <c r="H221" i="5"/>
  <c r="H226" i="5"/>
  <c r="H219" i="5"/>
  <c r="C81" i="4" s="1"/>
  <c r="H227" i="5"/>
  <c r="H228" i="5"/>
  <c r="C82" i="4" s="1"/>
  <c r="H241" i="5"/>
  <c r="H240" i="5"/>
  <c r="H440" i="5" s="1"/>
  <c r="G240" i="5"/>
  <c r="G440" i="5" s="1"/>
  <c r="G239" i="5"/>
  <c r="B83" i="4" s="1"/>
  <c r="G229" i="5"/>
  <c r="G439" i="5" s="1"/>
  <c r="G228" i="5"/>
  <c r="B82" i="4" s="1"/>
  <c r="K226" i="5"/>
  <c r="K227" i="5"/>
  <c r="K230" i="5"/>
  <c r="K237" i="5"/>
  <c r="K238" i="5"/>
  <c r="K221" i="5"/>
  <c r="G220" i="5"/>
  <c r="G438" i="5" s="1"/>
  <c r="G219" i="5"/>
  <c r="B81" i="4" s="1"/>
  <c r="H395" i="5"/>
  <c r="C102" i="4" s="1"/>
  <c r="H402" i="5"/>
  <c r="H403" i="5"/>
  <c r="H397" i="5"/>
  <c r="H396" i="5"/>
  <c r="H454" i="5" s="1"/>
  <c r="H404" i="5"/>
  <c r="C103" i="4" s="1"/>
  <c r="H413" i="5"/>
  <c r="H406" i="5"/>
  <c r="H405" i="5"/>
  <c r="H455" i="5" s="1"/>
  <c r="H422" i="5"/>
  <c r="H423" i="5"/>
  <c r="H416" i="5"/>
  <c r="H415" i="5"/>
  <c r="H456" i="5" s="1"/>
  <c r="G415" i="5"/>
  <c r="G456" i="5" s="1"/>
  <c r="H414" i="5"/>
  <c r="C104" i="4" s="1"/>
  <c r="G414" i="5"/>
  <c r="B104" i="4" s="1"/>
  <c r="G405" i="5"/>
  <c r="G455" i="5" s="1"/>
  <c r="G404" i="5"/>
  <c r="B103" i="4" s="1"/>
  <c r="G396" i="5"/>
  <c r="G454" i="5" s="1"/>
  <c r="G395" i="5"/>
  <c r="B102" i="4" s="1"/>
  <c r="H368" i="5"/>
  <c r="H369" i="5"/>
  <c r="H361" i="5"/>
  <c r="H380" i="5"/>
  <c r="H381" i="5"/>
  <c r="H372" i="5"/>
  <c r="H392" i="5"/>
  <c r="H393" i="5"/>
  <c r="H384" i="5"/>
  <c r="H383" i="5"/>
  <c r="H453" i="5" s="1"/>
  <c r="G383" i="5"/>
  <c r="G453" i="5" s="1"/>
  <c r="H382" i="5"/>
  <c r="C100" i="4" s="1"/>
  <c r="G382" i="5"/>
  <c r="B100" i="4" s="1"/>
  <c r="H371" i="5"/>
  <c r="H452" i="5" s="1"/>
  <c r="G371" i="5"/>
  <c r="G452" i="5" s="1"/>
  <c r="H370" i="5"/>
  <c r="C99" i="4" s="1"/>
  <c r="G370" i="5"/>
  <c r="B99" i="4" s="1"/>
  <c r="H360" i="5"/>
  <c r="H451" i="5" s="1"/>
  <c r="G360" i="5"/>
  <c r="G451" i="5" s="1"/>
  <c r="H359" i="5"/>
  <c r="H358" i="5" s="1"/>
  <c r="C97" i="4" s="1"/>
  <c r="G359" i="5"/>
  <c r="B98" i="4" s="1"/>
  <c r="H357" i="5"/>
  <c r="H356" i="5"/>
  <c r="H348" i="5"/>
  <c r="H350" i="5"/>
  <c r="H349" i="5"/>
  <c r="H450" i="5" s="1"/>
  <c r="G349" i="5"/>
  <c r="G450" i="5" s="1"/>
  <c r="G348" i="5"/>
  <c r="B96" i="4" s="1"/>
  <c r="H347" i="5"/>
  <c r="H346" i="5"/>
  <c r="H338" i="5"/>
  <c r="C95" i="4" s="1"/>
  <c r="H340" i="5"/>
  <c r="H339" i="5"/>
  <c r="H449" i="5" s="1"/>
  <c r="G339" i="5"/>
  <c r="G449" i="5" s="1"/>
  <c r="G338" i="5"/>
  <c r="B95" i="4" s="1"/>
  <c r="H337" i="5"/>
  <c r="H336" i="5"/>
  <c r="H328" i="5"/>
  <c r="C94" i="4" s="1"/>
  <c r="H330" i="5"/>
  <c r="H329" i="5"/>
  <c r="H448" i="5" s="1"/>
  <c r="G329" i="5"/>
  <c r="G448" i="5" s="1"/>
  <c r="G328" i="5"/>
  <c r="B94" i="4" s="1"/>
  <c r="H209" i="5"/>
  <c r="C79" i="4" s="1"/>
  <c r="H216" i="5"/>
  <c r="H217" i="5"/>
  <c r="H211" i="5"/>
  <c r="H210" i="5"/>
  <c r="H437" i="5" s="1"/>
  <c r="H199" i="5"/>
  <c r="C78" i="4" s="1"/>
  <c r="H207" i="5"/>
  <c r="H208" i="5"/>
  <c r="H201" i="5"/>
  <c r="H191" i="5"/>
  <c r="C77" i="4" s="1"/>
  <c r="H197" i="5"/>
  <c r="H198" i="5"/>
  <c r="H193" i="5"/>
  <c r="G210" i="5"/>
  <c r="G437" i="5" s="1"/>
  <c r="G209" i="5"/>
  <c r="B79" i="4" s="1"/>
  <c r="H200" i="5"/>
  <c r="H436" i="5" s="1"/>
  <c r="G200" i="5"/>
  <c r="G436" i="5" s="1"/>
  <c r="G199" i="5"/>
  <c r="B78" i="4" s="1"/>
  <c r="H192" i="5"/>
  <c r="H435" i="5" s="1"/>
  <c r="G192" i="5"/>
  <c r="G435" i="5" s="1"/>
  <c r="G191" i="5"/>
  <c r="B77" i="4" s="1"/>
  <c r="J108" i="5"/>
  <c r="J123" i="5"/>
  <c r="J124" i="5"/>
  <c r="J125" i="5"/>
  <c r="J126" i="5"/>
  <c r="J139" i="5"/>
  <c r="J140" i="5"/>
  <c r="J107" i="5"/>
  <c r="G142" i="5"/>
  <c r="G431" i="5" s="1"/>
  <c r="G141" i="5"/>
  <c r="B68" i="4" s="1"/>
  <c r="H154" i="5"/>
  <c r="H188" i="5"/>
  <c r="H187" i="5"/>
  <c r="H179" i="5"/>
  <c r="C74" i="4" s="1"/>
  <c r="H181" i="5"/>
  <c r="H434" i="5"/>
  <c r="G180" i="5"/>
  <c r="G434" i="5" s="1"/>
  <c r="G179" i="5"/>
  <c r="B74" i="4" s="1"/>
  <c r="H178" i="5"/>
  <c r="H170" i="5"/>
  <c r="G169" i="5"/>
  <c r="G433" i="5" s="1"/>
  <c r="H168" i="5"/>
  <c r="C73" i="4" s="1"/>
  <c r="G168" i="5"/>
  <c r="B73" i="4" s="1"/>
  <c r="H167" i="5"/>
  <c r="H166" i="5"/>
  <c r="H159" i="5"/>
  <c r="C72" i="4" s="1"/>
  <c r="H161" i="5"/>
  <c r="H160" i="5"/>
  <c r="H432" i="5" s="1"/>
  <c r="G160" i="5"/>
  <c r="G432" i="5" s="1"/>
  <c r="G159" i="5"/>
  <c r="B72" i="4" s="1"/>
  <c r="G106" i="5"/>
  <c r="G429" i="5" s="1"/>
  <c r="H141" i="5"/>
  <c r="C68" i="4" s="1"/>
  <c r="H155" i="5"/>
  <c r="H143" i="5"/>
  <c r="H142" i="5"/>
  <c r="H431" i="5" s="1"/>
  <c r="H125" i="5"/>
  <c r="H430" i="5" s="1"/>
  <c r="H124" i="5"/>
  <c r="C67" i="4" s="1"/>
  <c r="H139" i="5"/>
  <c r="H140" i="5"/>
  <c r="H126" i="5"/>
  <c r="H108" i="5"/>
  <c r="H105" i="5"/>
  <c r="H123" i="5"/>
  <c r="H107" i="5"/>
  <c r="H106" i="5"/>
  <c r="H429" i="5" s="1"/>
  <c r="G125" i="5"/>
  <c r="G430" i="5" s="1"/>
  <c r="G124" i="5"/>
  <c r="B67" i="4" s="1"/>
  <c r="G105" i="5"/>
  <c r="B66" i="4" s="1"/>
  <c r="G96" i="5"/>
  <c r="G428" i="5" s="1"/>
  <c r="G95" i="5"/>
  <c r="B64" i="4" s="1"/>
  <c r="G89" i="5"/>
  <c r="G427" i="5" s="1"/>
  <c r="G88" i="5"/>
  <c r="B63" i="4" s="1"/>
  <c r="G81" i="5"/>
  <c r="G426" i="5" s="1"/>
  <c r="G80" i="5"/>
  <c r="B62" i="4" s="1"/>
  <c r="H90" i="5"/>
  <c r="H63" i="5"/>
  <c r="G61" i="5"/>
  <c r="G36" i="5"/>
  <c r="H36" i="5"/>
  <c r="H37" i="5"/>
  <c r="H61" i="5" s="1"/>
  <c r="H16" i="5"/>
  <c r="G17" i="5"/>
  <c r="G60" i="5" s="1"/>
  <c r="H17" i="5"/>
  <c r="H206" i="1"/>
  <c r="H199" i="1"/>
  <c r="H190" i="1"/>
  <c r="H196" i="1"/>
  <c r="H189" i="1"/>
  <c r="H184" i="1"/>
  <c r="H185" i="1"/>
  <c r="H181" i="1" s="1"/>
  <c r="H186" i="1"/>
  <c r="H183" i="1"/>
  <c r="G198" i="1"/>
  <c r="G216" i="1" s="1"/>
  <c r="H197" i="1"/>
  <c r="C48" i="4" s="1"/>
  <c r="G197" i="1"/>
  <c r="B48" i="4" s="1"/>
  <c r="G188" i="1"/>
  <c r="G215" i="1" s="1"/>
  <c r="G187" i="1"/>
  <c r="B47" i="4" s="1"/>
  <c r="G182" i="1"/>
  <c r="G214" i="1" s="1"/>
  <c r="G213" i="1" s="1"/>
  <c r="G181" i="1"/>
  <c r="B46" i="4" s="1"/>
  <c r="H178" i="1"/>
  <c r="H179" i="1"/>
  <c r="H172" i="1"/>
  <c r="G171" i="1"/>
  <c r="G212" i="1" s="1"/>
  <c r="G170" i="1"/>
  <c r="B44" i="4" s="1"/>
  <c r="H167" i="1"/>
  <c r="H168" i="1"/>
  <c r="H169" i="1"/>
  <c r="H163" i="1"/>
  <c r="H161" i="1"/>
  <c r="C43" i="4" s="1"/>
  <c r="G161" i="1"/>
  <c r="B43" i="4" s="1"/>
  <c r="G162" i="1"/>
  <c r="G211" i="1" s="1"/>
  <c r="H158" i="1"/>
  <c r="H159" i="1"/>
  <c r="H160" i="1"/>
  <c r="H157" i="1"/>
  <c r="H156" i="1"/>
  <c r="H210" i="1" s="1"/>
  <c r="G156" i="1"/>
  <c r="G210" i="1" s="1"/>
  <c r="H155" i="1"/>
  <c r="G155" i="1"/>
  <c r="B42" i="4" s="1"/>
  <c r="G124" i="1"/>
  <c r="G152" i="1" s="1"/>
  <c r="G123" i="1"/>
  <c r="B37" i="4" s="1"/>
  <c r="H126" i="1"/>
  <c r="H123" i="1"/>
  <c r="C37" i="4" s="1"/>
  <c r="H127" i="1"/>
  <c r="H128" i="1"/>
  <c r="H125" i="1"/>
  <c r="H124" i="1"/>
  <c r="H152" i="1" s="1"/>
  <c r="H121" i="1"/>
  <c r="H122" i="1"/>
  <c r="H119" i="1"/>
  <c r="H118" i="1"/>
  <c r="H151" i="1" s="1"/>
  <c r="G118" i="1"/>
  <c r="G151" i="1" s="1"/>
  <c r="H117" i="1"/>
  <c r="C36" i="4" s="1"/>
  <c r="G117" i="1"/>
  <c r="B36" i="4" s="1"/>
  <c r="H114" i="1"/>
  <c r="G112" i="1"/>
  <c r="G150" i="1" s="1"/>
  <c r="G111" i="1"/>
  <c r="B35" i="4" s="1"/>
  <c r="H111" i="1"/>
  <c r="H116" i="1"/>
  <c r="H113" i="1"/>
  <c r="H112" i="1"/>
  <c r="H150" i="1" s="1"/>
  <c r="H108" i="1"/>
  <c r="H109" i="1"/>
  <c r="H101" i="1"/>
  <c r="G100" i="1"/>
  <c r="G148" i="1" s="1"/>
  <c r="G99" i="1"/>
  <c r="B33" i="4" s="1"/>
  <c r="G89" i="1"/>
  <c r="G147" i="1" s="1"/>
  <c r="G88" i="1"/>
  <c r="B32" i="4" s="1"/>
  <c r="H88" i="1"/>
  <c r="H97" i="1"/>
  <c r="H98" i="1"/>
  <c r="H90" i="1"/>
  <c r="H89" i="1"/>
  <c r="H147" i="1" s="1"/>
  <c r="G83" i="1"/>
  <c r="G146" i="1" s="1"/>
  <c r="G82" i="1"/>
  <c r="B31" i="4" s="1"/>
  <c r="H82" i="1"/>
  <c r="C31" i="4" s="1"/>
  <c r="H86" i="1"/>
  <c r="H87" i="1"/>
  <c r="H84" i="1"/>
  <c r="H83" i="1"/>
  <c r="H146" i="1" s="1"/>
  <c r="G75" i="1"/>
  <c r="G143" i="1" s="1"/>
  <c r="G74" i="1"/>
  <c r="B28" i="4" s="1"/>
  <c r="H74" i="1"/>
  <c r="C28" i="4" s="1"/>
  <c r="H78" i="1"/>
  <c r="H79" i="1"/>
  <c r="H75" i="1"/>
  <c r="H143" i="1" s="1"/>
  <c r="H69" i="1"/>
  <c r="H142" i="1" s="1"/>
  <c r="G69" i="1"/>
  <c r="G142" i="1" s="1"/>
  <c r="G68" i="1"/>
  <c r="B27" i="4" s="1"/>
  <c r="C26" i="4"/>
  <c r="G141" i="1"/>
  <c r="H59" i="1"/>
  <c r="H60" i="1"/>
  <c r="H57" i="1"/>
  <c r="G56" i="1"/>
  <c r="G139" i="1" s="1"/>
  <c r="G55" i="1"/>
  <c r="B24" i="4" s="1"/>
  <c r="G50" i="1"/>
  <c r="G138" i="1" s="1"/>
  <c r="G49" i="1"/>
  <c r="B23" i="4" s="1"/>
  <c r="H49" i="1"/>
  <c r="C23" i="4" s="1"/>
  <c r="H53" i="1"/>
  <c r="H54" i="1"/>
  <c r="H51" i="1"/>
  <c r="H50" i="1"/>
  <c r="H138" i="1" s="1"/>
  <c r="H47" i="1"/>
  <c r="H48" i="1"/>
  <c r="H45" i="1"/>
  <c r="G44" i="1"/>
  <c r="G137" i="1" s="1"/>
  <c r="H43" i="1"/>
  <c r="C22" i="4" s="1"/>
  <c r="G43" i="1"/>
  <c r="B22" i="4" s="1"/>
  <c r="G33" i="1"/>
  <c r="G135" i="1" s="1"/>
  <c r="G32" i="1"/>
  <c r="B20" i="4" s="1"/>
  <c r="H35" i="1"/>
  <c r="H32" i="1"/>
  <c r="C20" i="4" s="1"/>
  <c r="H41" i="1"/>
  <c r="G22" i="1"/>
  <c r="G134" i="1" s="1"/>
  <c r="G21" i="1"/>
  <c r="B19" i="4" s="1"/>
  <c r="H24" i="1"/>
  <c r="H31" i="1"/>
  <c r="H18" i="1"/>
  <c r="H15" i="1" s="1"/>
  <c r="C18" i="4" s="1"/>
  <c r="H19" i="1"/>
  <c r="H20" i="1"/>
  <c r="G16" i="1"/>
  <c r="G133" i="1" s="1"/>
  <c r="G15" i="1"/>
  <c r="B18" i="4" s="1"/>
  <c r="L13" i="1"/>
  <c r="H55" i="1"/>
  <c r="C24" i="4" s="1"/>
  <c r="G28" i="6"/>
  <c r="G29" i="6"/>
  <c r="G30" i="6"/>
  <c r="G31" i="6"/>
  <c r="G32" i="6"/>
  <c r="G24" i="6"/>
  <c r="G25" i="6"/>
  <c r="G20" i="6"/>
  <c r="G21" i="6"/>
  <c r="G35" i="6"/>
  <c r="G36" i="6"/>
  <c r="G37" i="6"/>
  <c r="G38" i="6"/>
  <c r="G55" i="6"/>
  <c r="G56" i="6"/>
  <c r="G57" i="6"/>
  <c r="G58" i="6"/>
  <c r="G127" i="6"/>
  <c r="G60" i="6"/>
  <c r="G54" i="6"/>
  <c r="G34" i="6"/>
  <c r="G23" i="6"/>
  <c r="G19" i="6"/>
  <c r="G15" i="6"/>
  <c r="E29" i="6"/>
  <c r="H229" i="5"/>
  <c r="H439" i="5" s="1"/>
  <c r="E192" i="6"/>
  <c r="E193" i="6"/>
  <c r="E152" i="6"/>
  <c r="E153" i="6"/>
  <c r="E147" i="6"/>
  <c r="E148" i="6"/>
  <c r="E140" i="6"/>
  <c r="E141" i="6"/>
  <c r="E135" i="6"/>
  <c r="E134" i="6"/>
  <c r="E136" i="6"/>
  <c r="E122" i="6"/>
  <c r="E118" i="6"/>
  <c r="E55" i="6"/>
  <c r="E56" i="6"/>
  <c r="E57" i="6"/>
  <c r="E48" i="6"/>
  <c r="E49" i="6"/>
  <c r="E50" i="6"/>
  <c r="E42" i="6"/>
  <c r="E43" i="6"/>
  <c r="E44" i="6"/>
  <c r="E35" i="6"/>
  <c r="E36" i="6"/>
  <c r="E37" i="6"/>
  <c r="E30" i="6"/>
  <c r="E31" i="6"/>
  <c r="H239" i="5"/>
  <c r="C83" i="4" s="1"/>
  <c r="H247" i="5"/>
  <c r="H95" i="5"/>
  <c r="C64" i="4" s="1"/>
  <c r="H102" i="5"/>
  <c r="H93" i="5"/>
  <c r="H88" i="5"/>
  <c r="C63" i="4" s="1"/>
  <c r="H80" i="5"/>
  <c r="H68" i="5"/>
  <c r="H170" i="1"/>
  <c r="C44" i="4" s="1"/>
  <c r="H100" i="1"/>
  <c r="H148" i="1" s="1"/>
  <c r="H99" i="1"/>
  <c r="C33" i="4" s="1"/>
  <c r="H68" i="1"/>
  <c r="E194" i="6"/>
  <c r="E159" i="6"/>
  <c r="E157" i="6" s="1"/>
  <c r="C158" i="4" s="1"/>
  <c r="E154" i="6"/>
  <c r="E151" i="6"/>
  <c r="E149" i="6"/>
  <c r="E142" i="6"/>
  <c r="E139" i="6"/>
  <c r="E137" i="6"/>
  <c r="E123" i="6"/>
  <c r="E121" i="6"/>
  <c r="E119" i="6"/>
  <c r="E117" i="6"/>
  <c r="E80" i="6"/>
  <c r="C141" i="4" s="1"/>
  <c r="E79" i="6"/>
  <c r="C140" i="4" s="1"/>
  <c r="E58" i="6"/>
  <c r="E54" i="6"/>
  <c r="E51" i="6"/>
  <c r="E47" i="6"/>
  <c r="E45" i="6"/>
  <c r="E41" i="6"/>
  <c r="E38" i="6"/>
  <c r="E34" i="6"/>
  <c r="E32" i="6"/>
  <c r="H248" i="5"/>
  <c r="H103" i="5"/>
  <c r="H97" i="5"/>
  <c r="H96" i="5"/>
  <c r="H428" i="5" s="1"/>
  <c r="H94" i="5"/>
  <c r="H87" i="5"/>
  <c r="H82" i="5"/>
  <c r="H141" i="1"/>
  <c r="H44" i="1"/>
  <c r="H137" i="1" s="1"/>
  <c r="H171" i="1"/>
  <c r="H212" i="1" s="1"/>
  <c r="H56" i="1"/>
  <c r="H139" i="1" s="1"/>
  <c r="H188" i="1"/>
  <c r="H215" i="1" s="1"/>
  <c r="H182" i="1"/>
  <c r="H214" i="1" s="1"/>
  <c r="C35" i="4"/>
  <c r="C96" i="4"/>
  <c r="B143" i="4"/>
  <c r="E169" i="6"/>
  <c r="C162" i="4" s="1"/>
  <c r="E59" i="6"/>
  <c r="C135" i="4" s="1"/>
  <c r="E195" i="6"/>
  <c r="C173" i="4" s="1"/>
  <c r="H158" i="5"/>
  <c r="C71" i="4" s="1"/>
  <c r="C98" i="4"/>
  <c r="B26" i="4"/>
  <c r="G145" i="1"/>
  <c r="C32" i="4"/>
  <c r="D13" i="6" l="1"/>
  <c r="B123" i="4" s="1"/>
  <c r="E40" i="6"/>
  <c r="C131" i="4" s="1"/>
  <c r="E150" i="6"/>
  <c r="C156" i="4" s="1"/>
  <c r="B171" i="4"/>
  <c r="E14" i="6"/>
  <c r="E22" i="6"/>
  <c r="C126" i="4" s="1"/>
  <c r="G394" i="5"/>
  <c r="B101" i="4" s="1"/>
  <c r="E18" i="6"/>
  <c r="C125" i="4" s="1"/>
  <c r="E82" i="6"/>
  <c r="E81" i="6" s="1"/>
  <c r="D115" i="6"/>
  <c r="H61" i="1"/>
  <c r="H110" i="1"/>
  <c r="C34" i="4" s="1"/>
  <c r="D26" i="6"/>
  <c r="B127" i="4" s="1"/>
  <c r="D39" i="6"/>
  <c r="B130" i="4" s="1"/>
  <c r="E77" i="6"/>
  <c r="C138" i="4" s="1"/>
  <c r="E27" i="6"/>
  <c r="C128" i="4" s="1"/>
  <c r="E138" i="6"/>
  <c r="C153" i="4" s="1"/>
  <c r="E145" i="6"/>
  <c r="C155" i="4" s="1"/>
  <c r="E184" i="6"/>
  <c r="E183" i="6" s="1"/>
  <c r="E160" i="6"/>
  <c r="C159" i="4" s="1"/>
  <c r="H16" i="1"/>
  <c r="H133" i="1" s="1"/>
  <c r="H132" i="1" s="1"/>
  <c r="E120" i="6"/>
  <c r="C149" i="4" s="1"/>
  <c r="E132" i="6"/>
  <c r="C152" i="4" s="1"/>
  <c r="E179" i="6"/>
  <c r="C170" i="4" s="1"/>
  <c r="E53" i="6"/>
  <c r="C134" i="4" s="1"/>
  <c r="B134" i="4"/>
  <c r="D52" i="6"/>
  <c r="B133" i="4" s="1"/>
  <c r="C66" i="4"/>
  <c r="H104" i="5"/>
  <c r="C62" i="4"/>
  <c r="H79" i="5"/>
  <c r="C61" i="4" s="1"/>
  <c r="H156" i="5"/>
  <c r="C69" i="4" s="1"/>
  <c r="G156" i="5"/>
  <c r="B69" i="4" s="1"/>
  <c r="G180" i="1"/>
  <c r="B45" i="4" s="1"/>
  <c r="G61" i="1"/>
  <c r="B25" i="4" s="1"/>
  <c r="G136" i="1"/>
  <c r="H14" i="1"/>
  <c r="C17" i="4" s="1"/>
  <c r="H149" i="1"/>
  <c r="G110" i="1"/>
  <c r="B34" i="4" s="1"/>
  <c r="H145" i="1"/>
  <c r="H144" i="1" s="1"/>
  <c r="G81" i="1"/>
  <c r="B30" i="4" s="1"/>
  <c r="H81" i="1"/>
  <c r="H80" i="1" s="1"/>
  <c r="C29" i="4" s="1"/>
  <c r="H140" i="1"/>
  <c r="H136" i="1"/>
  <c r="G42" i="1"/>
  <c r="B21" i="4" s="1"/>
  <c r="H42" i="1"/>
  <c r="C21" i="4" s="1"/>
  <c r="G132" i="1"/>
  <c r="C56" i="4"/>
  <c r="H15" i="5"/>
  <c r="G209" i="1"/>
  <c r="G208" i="1" s="1"/>
  <c r="B50" i="4" s="1"/>
  <c r="H180" i="1"/>
  <c r="C46" i="4"/>
  <c r="H213" i="1"/>
  <c r="H209" i="1"/>
  <c r="G154" i="1"/>
  <c r="B41" i="4" s="1"/>
  <c r="H154" i="1"/>
  <c r="C42" i="4"/>
  <c r="G140" i="1"/>
  <c r="E116" i="6"/>
  <c r="C148" i="4" s="1"/>
  <c r="B142" i="4"/>
  <c r="E33" i="6"/>
  <c r="E46" i="6"/>
  <c r="E39" i="6" s="1"/>
  <c r="C130" i="4" s="1"/>
  <c r="B56" i="4"/>
  <c r="G15" i="5"/>
  <c r="B54" i="4" s="1"/>
  <c r="B116" i="4"/>
  <c r="B115" i="4" s="1"/>
  <c r="G487" i="5"/>
  <c r="B114" i="4" s="1"/>
  <c r="G59" i="5"/>
  <c r="B57" i="4" s="1"/>
  <c r="H60" i="5"/>
  <c r="H59" i="5" s="1"/>
  <c r="C57" i="4" s="1"/>
  <c r="H62" i="5"/>
  <c r="B55" i="4"/>
  <c r="C55" i="4"/>
  <c r="G297" i="5"/>
  <c r="B89" i="4" s="1"/>
  <c r="H458" i="5"/>
  <c r="C108" i="4" s="1"/>
  <c r="H463" i="5"/>
  <c r="H474" i="5"/>
  <c r="C112" i="4" s="1"/>
  <c r="H494" i="5"/>
  <c r="C117" i="4" s="1"/>
  <c r="C115" i="4" s="1"/>
  <c r="C25" i="4"/>
  <c r="C27" i="4"/>
  <c r="G79" i="5"/>
  <c r="B61" i="4" s="1"/>
  <c r="H327" i="5"/>
  <c r="C93" i="4" s="1"/>
  <c r="G104" i="5"/>
  <c r="B65" i="4" s="1"/>
  <c r="H249" i="5"/>
  <c r="C84" i="4" s="1"/>
  <c r="G327" i="5"/>
  <c r="B93" i="4" s="1"/>
  <c r="B91" i="4"/>
  <c r="G473" i="5"/>
  <c r="B111" i="4" s="1"/>
  <c r="H190" i="5"/>
  <c r="C76" i="4" s="1"/>
  <c r="G158" i="5"/>
  <c r="B71" i="4" s="1"/>
  <c r="G190" i="5"/>
  <c r="B76" i="4" s="1"/>
  <c r="H394" i="5"/>
  <c r="C101" i="4" s="1"/>
  <c r="H468" i="5"/>
  <c r="C110" i="4" s="1"/>
  <c r="H482" i="5"/>
  <c r="C113" i="4" s="1"/>
  <c r="G218" i="5"/>
  <c r="B80" i="4" s="1"/>
  <c r="G358" i="5"/>
  <c r="B97" i="4" s="1"/>
  <c r="G457" i="5"/>
  <c r="B107" i="4" s="1"/>
  <c r="G488" i="5"/>
  <c r="G14" i="1"/>
  <c r="B17" i="4" s="1"/>
  <c r="C124" i="4"/>
  <c r="C132" i="4"/>
  <c r="G149" i="1"/>
  <c r="G144" i="1" s="1"/>
  <c r="H297" i="5"/>
  <c r="C89" i="4" s="1"/>
  <c r="G249" i="5"/>
  <c r="G425" i="5"/>
  <c r="B106" i="4" s="1"/>
  <c r="H218" i="5"/>
  <c r="C172" i="4" l="1"/>
  <c r="E13" i="6"/>
  <c r="C123" i="4" s="1"/>
  <c r="E144" i="6"/>
  <c r="C154" i="4" s="1"/>
  <c r="E115" i="6"/>
  <c r="E114" i="6" s="1"/>
  <c r="G131" i="1"/>
  <c r="H131" i="1"/>
  <c r="H130" i="1" s="1"/>
  <c r="C39" i="4" s="1"/>
  <c r="C54" i="4"/>
  <c r="H13" i="5"/>
  <c r="H425" i="5"/>
  <c r="C106" i="4" s="1"/>
  <c r="G80" i="1"/>
  <c r="B29" i="4" s="1"/>
  <c r="E52" i="6"/>
  <c r="C58" i="4"/>
  <c r="H207" i="1"/>
  <c r="C30" i="4"/>
  <c r="H13" i="1"/>
  <c r="H129" i="1" s="1"/>
  <c r="G130" i="1"/>
  <c r="B39" i="4" s="1"/>
  <c r="C143" i="4"/>
  <c r="C144" i="4"/>
  <c r="H488" i="5"/>
  <c r="H487" i="5" s="1"/>
  <c r="C114" i="4" s="1"/>
  <c r="H208" i="1"/>
  <c r="C50" i="4" s="1"/>
  <c r="C41" i="4"/>
  <c r="C171" i="4"/>
  <c r="E131" i="6"/>
  <c r="C151" i="4" s="1"/>
  <c r="C142" i="4"/>
  <c r="C129" i="4"/>
  <c r="E26" i="6"/>
  <c r="C127" i="4" s="1"/>
  <c r="H457" i="5"/>
  <c r="C107" i="4" s="1"/>
  <c r="C109" i="4"/>
  <c r="C65" i="4"/>
  <c r="H473" i="5"/>
  <c r="C111" i="4" s="1"/>
  <c r="G13" i="1"/>
  <c r="C45" i="4"/>
  <c r="G189" i="5"/>
  <c r="B84" i="4"/>
  <c r="C80" i="4"/>
  <c r="H189" i="5"/>
  <c r="E12" i="6" l="1"/>
  <c r="C147" i="4"/>
  <c r="H12" i="1"/>
  <c r="C15" i="4" s="1"/>
  <c r="C133" i="4"/>
  <c r="C16" i="4"/>
  <c r="H153" i="1"/>
  <c r="B16" i="4"/>
  <c r="G12" i="1"/>
  <c r="B15" i="4" s="1"/>
  <c r="C38" i="4"/>
  <c r="C49" i="4"/>
  <c r="G157" i="5"/>
  <c r="B75" i="4"/>
  <c r="H157" i="5"/>
  <c r="H424" i="5" s="1"/>
  <c r="H78" i="5" s="1"/>
  <c r="H12" i="5" s="1"/>
  <c r="C75" i="4"/>
  <c r="H11" i="1" l="1"/>
  <c r="C14" i="4" s="1"/>
  <c r="C146" i="4"/>
  <c r="C122" i="4"/>
  <c r="C40" i="4"/>
  <c r="B70" i="4"/>
  <c r="G78" i="5"/>
  <c r="B60" i="4" s="1"/>
  <c r="C70" i="4"/>
  <c r="C105" i="4" l="1"/>
  <c r="C52" i="4" l="1"/>
  <c r="C60" i="4"/>
  <c r="C51" i="4" l="1"/>
  <c r="C174" i="4" s="1"/>
  <c r="A177" i="4" s="1"/>
  <c r="C175" i="4" l="1"/>
  <c r="A178" i="4" s="1"/>
</calcChain>
</file>

<file path=xl/comments1.xml><?xml version="1.0" encoding="utf-8"?>
<comments xmlns="http://schemas.openxmlformats.org/spreadsheetml/2006/main">
  <authors>
    <author>User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Introduceti Facultatea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Introduceti Departamentul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Introduceti numele dumneavoastra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Introduceti gradul didactic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Introduceti vechimea dumneavoastra - camp obligatoriu</t>
        </r>
      </text>
    </comment>
  </commentList>
</comments>
</file>

<file path=xl/sharedStrings.xml><?xml version="1.0" encoding="utf-8"?>
<sst xmlns="http://schemas.openxmlformats.org/spreadsheetml/2006/main" count="747" uniqueCount="493">
  <si>
    <t>Vechimea in invatamant (N)</t>
  </si>
  <si>
    <t>ani</t>
  </si>
  <si>
    <t>CRITERII DE APRECIERE</t>
  </si>
  <si>
    <t>A. ACTIVITATEA DIDACTICA 35% * (I+II)</t>
  </si>
  <si>
    <t>I. Publicarea de manuale universitare, tratate si monografii PE.1+1.4</t>
  </si>
  <si>
    <t>1.1.1. Editate in limba romana</t>
  </si>
  <si>
    <t>1.1.2. Editate in limbi de circulatie internationala</t>
  </si>
  <si>
    <t>Total 1.1.2.</t>
  </si>
  <si>
    <t>Numar</t>
  </si>
  <si>
    <t>Nr. Pagini</t>
  </si>
  <si>
    <t>Nr. Autori</t>
  </si>
  <si>
    <t>Punctaj</t>
  </si>
  <si>
    <t>1.1. In edituri nationale</t>
  </si>
  <si>
    <t>1.2. In edituri din strainatate (carti editate in limbi de circulatie internationala)</t>
  </si>
  <si>
    <t>Total 1.1.</t>
  </si>
  <si>
    <t>Total 1.2.</t>
  </si>
  <si>
    <t>1.3. Litografiate (teza de doctorat / suporturi de studiu/alte carti de specialitate fara ISBN)</t>
  </si>
  <si>
    <t>Total 1.3.</t>
  </si>
  <si>
    <t>1.3.1. Publicate in limba romana</t>
  </si>
  <si>
    <t>Total 1.3.1.</t>
  </si>
  <si>
    <t>1.3.2. Publicate in limbi de circulatie internationala</t>
  </si>
  <si>
    <t>Total 1.3.2.</t>
  </si>
  <si>
    <t>1.4. Publicate in ultimii 5 ani</t>
  </si>
  <si>
    <t>Total 1.4.</t>
  </si>
  <si>
    <t>1.4.1. In edituri nationale</t>
  </si>
  <si>
    <t>Total 1.4.1.</t>
  </si>
  <si>
    <t>a. Editate in limba romana</t>
  </si>
  <si>
    <t>b. Editate in limbi de circulatie internationala</t>
  </si>
  <si>
    <t>1.4.2. In edituri din strainatate (carti editate in limbi de circulatie internationala)</t>
  </si>
  <si>
    <t>Total 1.4.2.</t>
  </si>
  <si>
    <t>II. Publicarea de alte carti de nivel universitar (caiete de lucrari practice, indrumatoare etc.):PE.2+2.3</t>
  </si>
  <si>
    <t>2.1. In edituri</t>
  </si>
  <si>
    <t>2.2. Litografiate</t>
  </si>
  <si>
    <t>Total 2.1.</t>
  </si>
  <si>
    <t>Total 2.2.</t>
  </si>
  <si>
    <t>2.3. Publicate in ultimii 5 ani</t>
  </si>
  <si>
    <t>Total 2.3.</t>
  </si>
  <si>
    <t>a. In editura</t>
  </si>
  <si>
    <t>IV. Lucrari stiintifice: PE4+4.6</t>
  </si>
  <si>
    <t>4.1 In reviste cotate CNCSIS (categoria B)</t>
  </si>
  <si>
    <t>Total 4.1.</t>
  </si>
  <si>
    <t>singur autor = 10 pct./lucrare</t>
  </si>
  <si>
    <t>Total 4.2.</t>
  </si>
  <si>
    <t>4.3. In reviste cotate ISI</t>
  </si>
  <si>
    <t>Total 4.3.</t>
  </si>
  <si>
    <t>singur autor = 20 pct./lucrare</t>
  </si>
  <si>
    <t>Total 4.3.a</t>
  </si>
  <si>
    <t>coautor:  10 pct./lucrare : nr. autori</t>
  </si>
  <si>
    <t>coautor:  20 pct./lucrare : nr. autori</t>
  </si>
  <si>
    <t xml:space="preserve">b.1. în reviste fără  factor de impact </t>
  </si>
  <si>
    <t>Total 4.3.b.1.</t>
  </si>
  <si>
    <t>singur autor = 60 pct./lucrare</t>
  </si>
  <si>
    <t>coautor:  60 pct./lucrare : nr. autori</t>
  </si>
  <si>
    <t>Total 4.3.b.2.</t>
  </si>
  <si>
    <t xml:space="preserve">b.2. în reviste cu  factor de impact (FI&lt;1) </t>
  </si>
  <si>
    <t>Total 4.3.b.3.</t>
  </si>
  <si>
    <t>Total 4.3.b.4.</t>
  </si>
  <si>
    <t>4.4. - În  volume ale unor Congrese/Conferinţe internaţionale pe domenii (cu ISBN/ISSN)</t>
  </si>
  <si>
    <t>Total 4.4.</t>
  </si>
  <si>
    <t>4.5. În volume ale altor manifestări ştiintifice naţionale (cu ISBN/ISSN)</t>
  </si>
  <si>
    <t>Total 4.5.</t>
  </si>
  <si>
    <t>4.6. – Lucrări  publicate în ultimii 5 ani:</t>
  </si>
  <si>
    <t>Total 4.6.</t>
  </si>
  <si>
    <t>Total V.</t>
  </si>
  <si>
    <t>VI. Lucrări ştiinţifice premiate:</t>
  </si>
  <si>
    <t>Total VI.</t>
  </si>
  <si>
    <t>V. Cărţi/prototipuri /brevete/etc premiate:</t>
  </si>
  <si>
    <t xml:space="preserve">VII. Brevete, invenţii, omologare de soiuri sau hibrizi, produse etc. </t>
  </si>
  <si>
    <t>Total VII.</t>
  </si>
  <si>
    <t>naţionale (20 puncte x nr.)</t>
  </si>
  <si>
    <t xml:space="preserve">TOTAL A+B+C </t>
  </si>
  <si>
    <t>Punctaj lucrare</t>
  </si>
  <si>
    <t>Valoare contract</t>
  </si>
  <si>
    <t>F.I. Revista</t>
  </si>
  <si>
    <t>Verificare punctaj revista</t>
  </si>
  <si>
    <t>&lt;1</t>
  </si>
  <si>
    <t>Nr. de ani</t>
  </si>
  <si>
    <t>Media</t>
  </si>
  <si>
    <t>De cate ori</t>
  </si>
  <si>
    <t>Nr. Doctoranzi</t>
  </si>
  <si>
    <t>Nr. Lucrari</t>
  </si>
  <si>
    <t>Nr. Comisii</t>
  </si>
  <si>
    <t>Puntaj contract</t>
  </si>
  <si>
    <t>singur autor = 100 + 50*FI puncte/lucrare</t>
  </si>
  <si>
    <t>singur autor = 100 + 100*FI puncte/lucrare</t>
  </si>
  <si>
    <t>Criterii de apreciere</t>
  </si>
  <si>
    <t>A. Activitatea didactică 35% x (I+II)</t>
  </si>
  <si>
    <t>I. Publicarea de manuale universitare, tratate şi monografii: PE.1 + 1.4</t>
  </si>
  <si>
    <t>1.1.1. Editate în limba română</t>
  </si>
  <si>
    <t>II. Publicarea de alte cărţi de nivel universitar (caiete de lucrări practice, îndrumătoare etc): PE.2+2.3</t>
  </si>
  <si>
    <r>
      <t>V. Cărţi/prototipuri/brevete/etc premiate</t>
    </r>
    <r>
      <rPr>
        <b/>
        <i/>
        <sz val="12"/>
        <color indexed="8"/>
        <rFont val="Times New Roman"/>
        <family val="1"/>
      </rPr>
      <t>:</t>
    </r>
  </si>
  <si>
    <r>
      <t>VI. Lucrări ştiinţifice premiate</t>
    </r>
    <r>
      <rPr>
        <b/>
        <i/>
        <sz val="12"/>
        <color indexed="8"/>
        <rFont val="Times New Roman"/>
        <family val="1"/>
      </rPr>
      <t>:</t>
    </r>
  </si>
  <si>
    <t>VII. Brevete, invenţii, omologare de soiuri sau hibrizi, produse etc. :</t>
  </si>
  <si>
    <t xml:space="preserve"> singur autor: 10 puncte/lucrare</t>
  </si>
  <si>
    <t xml:space="preserve"> singur autor: 20 puncte/lucrare</t>
  </si>
  <si>
    <t xml:space="preserve">1.1.2. Editate în limbi de circulaţie internaţională </t>
  </si>
  <si>
    <t xml:space="preserve"> coautor: 10 puncte/lucrare:nr. autori </t>
  </si>
  <si>
    <t xml:space="preserve"> coautor: 20 puncte/lucrare:nr. autori </t>
  </si>
  <si>
    <t xml:space="preserve">b.1 în reviste fără factor de impact </t>
  </si>
  <si>
    <t xml:space="preserve"> singur autor: 60 puncte/lucrare</t>
  </si>
  <si>
    <t xml:space="preserve"> coautor: 60 puncte/lucrare: nr. autori</t>
  </si>
  <si>
    <t xml:space="preserve">b.2 în reviste cu factor de impact (FI&lt;1) </t>
  </si>
  <si>
    <t xml:space="preserve"> coautor: 60 puncte/lucrare : nr. autori </t>
  </si>
  <si>
    <t xml:space="preserve"> singur autor: 50 puncte/lucrare</t>
  </si>
  <si>
    <t xml:space="preserve"> coautor: 50 puncte/lucrare :nr. autori </t>
  </si>
  <si>
    <t xml:space="preserve"> coautor: 20 puncte/lucrare :nr. autori </t>
  </si>
  <si>
    <t xml:space="preserve"> în străinătate: 50 puncte/fiecare caz</t>
  </si>
  <si>
    <t xml:space="preserve"> 1.3.1. Publicate în limba română</t>
  </si>
  <si>
    <t xml:space="preserve">a. Lucrări publicate în rezumat (abstract) </t>
  </si>
  <si>
    <r>
      <rPr>
        <sz val="12"/>
        <color indexed="8"/>
        <rFont val="Times New Roman"/>
        <family val="1"/>
      </rPr>
      <t xml:space="preserve"> 1.3.2.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Publicate în limbi de circulaţie internaţională</t>
    </r>
  </si>
  <si>
    <t>cereri aprobate:</t>
  </si>
  <si>
    <t>REALIZARE PROFESIONALA</t>
  </si>
  <si>
    <t>b. Lucrări publicate în extenso (FULL TEXT PAPER)                         Total 4.3.b</t>
  </si>
  <si>
    <t>&gt;=1</t>
  </si>
  <si>
    <t>Senat</t>
  </si>
  <si>
    <t>Consiliul de administratie</t>
  </si>
  <si>
    <t>Teze in cotutela</t>
  </si>
  <si>
    <t>Conducator de doctorat</t>
  </si>
  <si>
    <t>Indrumare lucrari de licenta</t>
  </si>
  <si>
    <t>Indrumare lucrari de diploma</t>
  </si>
  <si>
    <t>Indrumare lucrari de dizertatie</t>
  </si>
  <si>
    <t xml:space="preserve"> singur autor: 100 +50 x FI puncte/lucrare</t>
  </si>
  <si>
    <t xml:space="preserve"> singur autor: 100 +100 x FI puncte/lucrare</t>
  </si>
  <si>
    <t xml:space="preserve"> </t>
  </si>
  <si>
    <t>Consiliul Facultatii</t>
  </si>
  <si>
    <t>Se completeaza cu presedinte, vicepresedinte sau membru</t>
  </si>
  <si>
    <t>Verificare nr ani.</t>
  </si>
  <si>
    <t xml:space="preserve">colectiv autori = (2 pct x nr. pag.): nr. autori </t>
  </si>
  <si>
    <t>singur autor = 2 pct x nr. pag.</t>
  </si>
  <si>
    <t>singur autor = 4 pct x nr. pag.</t>
  </si>
  <si>
    <t xml:space="preserve"> colectiv autori =  (4 pct x nr. pag.): nr. autori </t>
  </si>
  <si>
    <t>singur autor = 0,6 pct x nr. pag.</t>
  </si>
  <si>
    <t xml:space="preserve">colectiv autori = (0,6 pct x nr. pag.): nr. autori </t>
  </si>
  <si>
    <t>singur autor = 0,8 pct x nr. pag.</t>
  </si>
  <si>
    <t xml:space="preserve">colectiv autori = (0,8 pct x nr. pag.): nr. autori </t>
  </si>
  <si>
    <t>singur autor = 0,4 pct x nr. pag.</t>
  </si>
  <si>
    <t xml:space="preserve">colectiv autori = (0,4 pct x nr. pag.): nr. autori </t>
  </si>
  <si>
    <r>
      <t>2.1</t>
    </r>
    <r>
      <rPr>
        <b/>
        <sz val="12"/>
        <color indexed="8"/>
        <rFont val="Times New Roman"/>
        <family val="1"/>
      </rPr>
      <t xml:space="preserve">. </t>
    </r>
    <r>
      <rPr>
        <b/>
        <i/>
        <sz val="12"/>
        <color indexed="8"/>
        <rFont val="Times New Roman"/>
        <family val="1"/>
      </rPr>
      <t>În edituri:</t>
    </r>
    <r>
      <rPr>
        <b/>
        <sz val="12"/>
        <color indexed="8"/>
        <rFont val="Times New Roman"/>
        <family val="1"/>
      </rPr>
      <t xml:space="preserve"> </t>
    </r>
  </si>
  <si>
    <r>
      <t>2.2</t>
    </r>
    <r>
      <rPr>
        <b/>
        <sz val="12"/>
        <color indexed="8"/>
        <rFont val="Times New Roman"/>
        <family val="1"/>
      </rPr>
      <t xml:space="preserve">. </t>
    </r>
    <r>
      <rPr>
        <b/>
        <i/>
        <sz val="12"/>
        <color indexed="8"/>
        <rFont val="Times New Roman"/>
        <family val="1"/>
      </rPr>
      <t>Litografiate</t>
    </r>
    <r>
      <rPr>
        <b/>
        <sz val="12"/>
        <color indexed="8"/>
        <rFont val="Times New Roman"/>
        <family val="1"/>
      </rPr>
      <t xml:space="preserve">: </t>
    </r>
  </si>
  <si>
    <r>
      <rPr>
        <b/>
        <sz val="12"/>
        <color indexed="8"/>
        <rFont val="Times New Roman"/>
        <family val="1"/>
      </rPr>
      <t>2.3</t>
    </r>
    <r>
      <rPr>
        <b/>
        <i/>
        <sz val="12"/>
        <color indexed="8"/>
        <rFont val="Times New Roman"/>
        <family val="1"/>
      </rPr>
      <t xml:space="preserve"> Publicatiile din ultimii 5 ani (la categoriile 2.1, 2.2) se cuantifica 100%</t>
    </r>
  </si>
  <si>
    <r>
      <t xml:space="preserve">1.1. </t>
    </r>
    <r>
      <rPr>
        <b/>
        <sz val="12"/>
        <color indexed="8"/>
        <rFont val="Times New Roman"/>
        <family val="1"/>
      </rPr>
      <t xml:space="preserve">În edituri naţionale: </t>
    </r>
  </si>
  <si>
    <r>
      <t>1.2</t>
    </r>
    <r>
      <rPr>
        <b/>
        <sz val="12"/>
        <color indexed="8"/>
        <rFont val="Times New Roman"/>
        <family val="1"/>
      </rPr>
      <t>. În edituri din străinătate (cărţi editate în limbi de circulaţie internaţională):</t>
    </r>
  </si>
  <si>
    <r>
      <t xml:space="preserve">4.3. </t>
    </r>
    <r>
      <rPr>
        <b/>
        <sz val="12"/>
        <color indexed="8"/>
        <rFont val="Times New Roman"/>
        <family val="1"/>
      </rPr>
      <t xml:space="preserve">În reviste cotate ISI </t>
    </r>
  </si>
  <si>
    <r>
      <t xml:space="preserve">4.1. </t>
    </r>
    <r>
      <rPr>
        <b/>
        <sz val="12"/>
        <color indexed="8"/>
        <rFont val="Times New Roman"/>
        <family val="1"/>
      </rPr>
      <t>În reviste cotate CNCSIS (categoria B)</t>
    </r>
  </si>
  <si>
    <t xml:space="preserve"> singur autor: 100 +200 x FI puncte/lucrare</t>
  </si>
  <si>
    <t xml:space="preserve"> în străinătate: 200 puncte/lucrare: nr. autori</t>
  </si>
  <si>
    <t xml:space="preserve"> cărţi recenzate în străinătate: 50 puncte/lucrare : nr. autori</t>
  </si>
  <si>
    <t xml:space="preserve"> în străinătate 200 puncte/lucrare : nr. autori</t>
  </si>
  <si>
    <t>în străinătate: 300 puncte/fiecare caz : nr. autori</t>
  </si>
  <si>
    <t xml:space="preserve"> în ţară          100 puncte/lucrare : nr. autori</t>
  </si>
  <si>
    <t xml:space="preserve"> în ţară:          100 puncte/lucrare : nr. autori</t>
  </si>
  <si>
    <t>în ţară:           200 puncte/fiecare caz : nr. autori</t>
  </si>
  <si>
    <t>în ţară: Academia Română –150 puncte x nr. ani</t>
  </si>
  <si>
    <t>în străinătate Academii de specialitate recunoscute științific la nivel mondial:                                             100 puncte x nr. ani</t>
  </si>
  <si>
    <t xml:space="preserve"> în ţară:           25 puncte/fiecare caz </t>
  </si>
  <si>
    <t>în reviste cu FI =0:  20 : nr. autori al articolului citat</t>
  </si>
  <si>
    <r>
      <rPr>
        <b/>
        <sz val="12"/>
        <color indexed="8"/>
        <rFont val="Times New Roman"/>
        <family val="1"/>
      </rPr>
      <t>XV.</t>
    </r>
    <r>
      <rPr>
        <b/>
        <i/>
        <sz val="12"/>
        <color indexed="8"/>
        <rFont val="Times New Roman"/>
        <family val="1"/>
      </rPr>
      <t xml:space="preserve"> Alte activităţi – (ultimii 5 ani):</t>
    </r>
  </si>
  <si>
    <t>în reviste cu FI&lt;1  20 pct / articol</t>
  </si>
  <si>
    <t>în reviste cu FI≥1 30 pct / articol</t>
  </si>
  <si>
    <r>
      <t>1.3</t>
    </r>
    <r>
      <rPr>
        <b/>
        <sz val="12"/>
        <color indexed="8"/>
        <rFont val="Times New Roman"/>
        <family val="1"/>
      </rPr>
      <t>. Litografiate (</t>
    </r>
    <r>
      <rPr>
        <b/>
        <sz val="10"/>
        <color indexed="8"/>
        <rFont val="Times New Roman"/>
        <family val="1"/>
      </rPr>
      <t>teză de doctorat/ suporturi de studiu/alte cărţi de specialitate fără ISBN</t>
    </r>
    <r>
      <rPr>
        <b/>
        <sz val="12"/>
        <color indexed="8"/>
        <rFont val="Times New Roman"/>
        <family val="1"/>
      </rPr>
      <t>):</t>
    </r>
    <r>
      <rPr>
        <b/>
        <i/>
        <sz val="12"/>
        <color indexed="8"/>
        <rFont val="Times New Roman"/>
        <family val="1"/>
      </rPr>
      <t xml:space="preserve"> </t>
    </r>
  </si>
  <si>
    <t xml:space="preserve">Nr. de pagini a cărții analizate </t>
  </si>
  <si>
    <t>In ultimii 5 ani</t>
  </si>
  <si>
    <t>&lt;=5 ani</t>
  </si>
  <si>
    <t>In ultimii 5 ani se completeaza doar cu DA / NU</t>
  </si>
  <si>
    <t xml:space="preserve">Introduceti Nr. Caractere / pagină la formatul cărții analizate </t>
  </si>
  <si>
    <t>Nr. de pagini format academic</t>
  </si>
  <si>
    <t>singur autor = 2  pct. x nr. pag</t>
  </si>
  <si>
    <t xml:space="preserve">Total 1.1.1. </t>
  </si>
  <si>
    <t>singur autor = 2  pct. x nr. Pag</t>
  </si>
  <si>
    <t>singur autor = 2  pct. x nr. Pag in ultimii 5 ani</t>
  </si>
  <si>
    <t xml:space="preserve">colectiv autori = (2  pct. x nr. pag) : nr. autori </t>
  </si>
  <si>
    <t>colectiv autori = (2  pct. x nr. pag) : nr. autori in ultimii 5 ani</t>
  </si>
  <si>
    <t>singur autor = 4  pct. x nr. pag</t>
  </si>
  <si>
    <t>singur autor = 4  pct. x nr. Pag in ultimii 5 ani</t>
  </si>
  <si>
    <t xml:space="preserve">colectiv autori = (4  pct. x nr. pag) : nr. autori </t>
  </si>
  <si>
    <t>colectiv autori = (4  pct. x nr. pag) : nr. autori in ultimii 5 ani</t>
  </si>
  <si>
    <t>singur autor = 0,6  pct. x nr. Pag</t>
  </si>
  <si>
    <t>singur autor = 0,6  pct. x nr. Pag in ultimii 5 ani</t>
  </si>
  <si>
    <t xml:space="preserve">colectiv autori = (0,6  pct. x nr. pag) : nr. autori </t>
  </si>
  <si>
    <t>colectiv autori = (0,6  pct. x nr. pag) : nr. autori in ultimii 5 ani</t>
  </si>
  <si>
    <t>singur autor = 0,8  pct. x nr. Pag</t>
  </si>
  <si>
    <t>singur autor = 0,8  pct. x nr. Pag in ultimii 5 ani</t>
  </si>
  <si>
    <t xml:space="preserve">colectiv autori = (0,8  pct. x nr. pag) : nr. autori </t>
  </si>
  <si>
    <t>colectiv autori = (0,8  pct. x nr. pag) : nr. autori in ultimii 5 ani</t>
  </si>
  <si>
    <t>singur autor = 4  pct. x nr. Pag</t>
  </si>
  <si>
    <t>colectiv autori = (4  pct. x nr. pag) : nr. Autori</t>
  </si>
  <si>
    <t>Total 1.4.3.</t>
  </si>
  <si>
    <t>a. Publicate în limba română</t>
  </si>
  <si>
    <t>colectiv autori = (0,8  pct. x nr. pag) : nr. Autori</t>
  </si>
  <si>
    <t>b. Publicate în limbi de circulaţie internaţională</t>
  </si>
  <si>
    <t>1.4.3. Litografiate</t>
  </si>
  <si>
    <t>IN ULTIMII 5 ANI</t>
  </si>
  <si>
    <t>singur autor = 0,4  pct. x nr. Pag</t>
  </si>
  <si>
    <t>singur autor = 0,4  pct. x nr. Pag in ultimii 5 ani</t>
  </si>
  <si>
    <t xml:space="preserve">colectiv autori = (0,4  pct. x nr. pag) : nr. autori </t>
  </si>
  <si>
    <t>colectiv autori = (0,4  pct. x nr. pag) : nr. autori in ultimii 5 ani</t>
  </si>
  <si>
    <t>b. Litografiate</t>
  </si>
  <si>
    <t>Nr. Membrii</t>
  </si>
  <si>
    <t>3.1.</t>
  </si>
  <si>
    <t>2.1.</t>
  </si>
  <si>
    <t>2.2.</t>
  </si>
  <si>
    <t>singur autor = 10 pct./lucrare in ultimii 5 ani</t>
  </si>
  <si>
    <t>coautor:  10 pct./lucrare : nr. Autori in ultimii 5 ani</t>
  </si>
  <si>
    <t>4.2. In reviste recenzate in BDI 
(ec. CABI, Pubmed, Scopus etc.)</t>
  </si>
  <si>
    <t>singur autor = 20 pct./lucrare in ultimii 5 ani</t>
  </si>
  <si>
    <t>coautor:  20 pct./lucrare : nr. Autori in ultimii 5 ani</t>
  </si>
  <si>
    <t>singur autor = 60 pct./lucrare in ultimii 5 ani</t>
  </si>
  <si>
    <t>coautor:  60 pct./lucrare : nr. Autori in ultimii 5 ani</t>
  </si>
  <si>
    <t>singur autor = 50 pct./lucrare</t>
  </si>
  <si>
    <t>singur autor = 50 pct./lucrare in ultimii 5 ani</t>
  </si>
  <si>
    <t>coautor:  50 pct./lucrare : nr. autori</t>
  </si>
  <si>
    <t>coautor:  50 pct./lucrare : nr. Autori in ultimii 5 ani</t>
  </si>
  <si>
    <t>b.5. în volumele conferinţelor indexate  - ISI Proceedings</t>
  </si>
  <si>
    <t>b.4. în reviste cu  factor de impact clasate in zona rosie</t>
  </si>
  <si>
    <t>b.3. în reviste cu  factor de impact (FI≥1) / clasate in zona galbena</t>
  </si>
  <si>
    <t>Total 4.3.b.5.</t>
  </si>
  <si>
    <t>singur autor = 100 + 50*FI puncte/lucrare in ultimii 5 ani</t>
  </si>
  <si>
    <t>singur autor = 100 + 100*FI puncte/lucrare in ultimii 5 ani</t>
  </si>
  <si>
    <t>singur autor = 100 + 200*FI puncte/lucrare</t>
  </si>
  <si>
    <t>singur autor = 100 + 200*FI puncte/lucrare in ultimii 5 ani</t>
  </si>
  <si>
    <t>4.1.</t>
  </si>
  <si>
    <t>4.2.</t>
  </si>
  <si>
    <t>4.4.</t>
  </si>
  <si>
    <t>4.5.</t>
  </si>
  <si>
    <t>4.3.a</t>
  </si>
  <si>
    <t>4.3.b.1.</t>
  </si>
  <si>
    <t>4.3.b.2.</t>
  </si>
  <si>
    <t>4.3.b.3.</t>
  </si>
  <si>
    <t>4.3.b.4.</t>
  </si>
  <si>
    <t>4.3.b.5.</t>
  </si>
  <si>
    <t>în străinătate: 200 puncte/lucrare: nr. autori</t>
  </si>
  <si>
    <t>în ţară:  100 puncte/lucrare : nr. autori</t>
  </si>
  <si>
    <t>cărţi recenzate în străinătate:  50 puncte/lucrare : nr. autori</t>
  </si>
  <si>
    <t>în ţară  - 100 puncte/lucrare : nr. autori</t>
  </si>
  <si>
    <t>în străinătate - 200 puncte/lucrare : nr. autori</t>
  </si>
  <si>
    <t>TOTAL</t>
  </si>
  <si>
    <t>Nr. autori articol citat</t>
  </si>
  <si>
    <t>în reviste cu FI = 0:  20 : nr. autori al articolului citat</t>
  </si>
  <si>
    <t>XV. Alte activităţi – (ultimii 5 ani):</t>
  </si>
  <si>
    <t>Indrumare doctoranzi straini in stagiu</t>
  </si>
  <si>
    <t>Numar:</t>
  </si>
  <si>
    <r>
      <rPr>
        <b/>
        <sz val="14"/>
        <color indexed="8"/>
        <rFont val="Times New Roman"/>
        <family val="1"/>
      </rPr>
      <t>IV. Lucrări ştiinţifice: PE4+4.6</t>
    </r>
  </si>
  <si>
    <t xml:space="preserve">b.4 în reviste cu factor de impact clasate în zona rosie </t>
  </si>
  <si>
    <t xml:space="preserve"> b.5 în volumele conferinţelor indexate ISI Proceedings</t>
  </si>
  <si>
    <t xml:space="preserve"> in ţară: 200 puncte/fiecare caz : nr. autori</t>
  </si>
  <si>
    <t>în străinătate:  300 puncte/fiecare caz : nr. autori</t>
  </si>
  <si>
    <r>
      <t xml:space="preserve">4.2. </t>
    </r>
    <r>
      <rPr>
        <b/>
        <sz val="12"/>
        <color indexed="8"/>
        <rFont val="Times New Roman"/>
        <family val="1"/>
      </rPr>
      <t>În reviste recenzate în BDI 
(ex. CABI, Pubmed, Scopus etc.)**</t>
    </r>
  </si>
  <si>
    <r>
      <t xml:space="preserve">Puctaj echivalent pentru 5 ani activitate: PE.2=(2.1+2.2) : (N-5) ani vechime in invatamant*5 ani </t>
    </r>
    <r>
      <rPr>
        <i/>
        <sz val="12"/>
        <color indexed="8"/>
        <rFont val="Times New Roman"/>
        <family val="1"/>
      </rPr>
      <t>(la vechime mai mare de 10 ani)</t>
    </r>
  </si>
  <si>
    <r>
      <t xml:space="preserve">Punctaj echivalent pentru 5 ani de activitate*: PE.1 = (1.1+1.2+1.3) : (N-5) ani vechime în învăţământ * 5 ani </t>
    </r>
    <r>
      <rPr>
        <i/>
        <sz val="12"/>
        <color indexed="8"/>
        <rFont val="Times New Roman"/>
        <family val="1"/>
      </rPr>
      <t>(la vechime mai mare de 10 ani)</t>
    </r>
  </si>
  <si>
    <r>
      <t xml:space="preserve">Punctaj echivalent pentru 5 ani de activitate*: PE.4=(4.1+4.2+4.3+4.4+4.5) : (N-5) ani vechime x 5 ani </t>
    </r>
    <r>
      <rPr>
        <i/>
        <sz val="12"/>
        <color indexed="8"/>
        <rFont val="Times New Roman"/>
        <family val="1"/>
      </rPr>
      <t>(la vechime mai mare de 10 ani)</t>
    </r>
  </si>
  <si>
    <t xml:space="preserve">b.3 în reviste cu factor de impact (FI≥1) / clasate în zona galbenă </t>
  </si>
  <si>
    <t>Nr. pagini format academic = (Nr. caractere/pagină la formatul cărții analizate x Nr. pagini carte): 3139*</t>
  </si>
  <si>
    <t>3139* = reprezinta numărul de caractere cu spații, pe pagina full text la formatul academic</t>
  </si>
  <si>
    <t>1.1. Pentru cărți: calculul se efectuează la formatul de tip academic (pagina: 17x24 cm, un spațiu între rânduri, font size 11); orice alt format se va converti la cel academic, pe baza unei formule de calcul:</t>
  </si>
  <si>
    <t xml:space="preserve"> prim autor (coord./corespondent): +6 puncte/lucrare </t>
  </si>
  <si>
    <t xml:space="preserve"> prim autor (coord./corespondent): +3 puncte/lucrare </t>
  </si>
  <si>
    <t>Nr. ani</t>
  </si>
  <si>
    <t>Nr. cazuri</t>
  </si>
  <si>
    <t>h. Responsabil cu activități studențești din cămine: 10 pct/an</t>
  </si>
  <si>
    <t>j. Responsabil cu organizarea practicii studenților:</t>
  </si>
  <si>
    <t>în reviste cu FI≥1: (80+20 x FI): nr. autori al articolului citat</t>
  </si>
  <si>
    <t xml:space="preserve"> în reviste cu FI&lt;1: (40 +10 x FI): nr. autori al articolului citat</t>
  </si>
  <si>
    <t>coautor:  (100 +50*FI puncte/lucrare) : nr. autori in ultimii 5 ani</t>
  </si>
  <si>
    <t>coautor:  (100 +100*FI puncte/lucrare) : nr. autori in ultimii 5 ani</t>
  </si>
  <si>
    <t>coautor:  (100 +200*FI puncte/lucrare) : nr. autori in ultimii 5 ani</t>
  </si>
  <si>
    <t>în reviste cu FI≥1: (80 + 20 x F.I.) : nr. autori al articolului citat</t>
  </si>
  <si>
    <t>în reviste cu FI&lt;1: (40 +10 x FI): nr. autori al articolului citat</t>
  </si>
  <si>
    <t>3.1. Granturi/contracte</t>
  </si>
  <si>
    <t xml:space="preserve"> director/responsabil partener: Vpi/500</t>
  </si>
  <si>
    <t xml:space="preserve"> membru în colectivul de cercetare: Vpi/(500 x k)</t>
  </si>
  <si>
    <t>3.4. Proiecte de tip F.D.I. (pentru directorul de proiect) Vpi/800</t>
  </si>
  <si>
    <t>3.3. Pentru granturi/contracte de cercetare/dezvoltare/POC finantate din fonduri europene se acorda suplimentar Directorului de proiect 20% din punctajul calculat</t>
  </si>
  <si>
    <r>
      <t xml:space="preserve">4.6. </t>
    </r>
    <r>
      <rPr>
        <sz val="12"/>
        <color indexed="8"/>
        <rFont val="Times New Roman"/>
        <family val="1"/>
      </rPr>
      <t>Pentru ultimii 5 ani (activitatea de la categoriile 4.1+4.2+4.3+4.4+4.5) se cuantifică 100%</t>
    </r>
  </si>
  <si>
    <t xml:space="preserve"> în ţară:           10 puncte/fiecare societate (asociaţie) x nr. ani </t>
  </si>
  <si>
    <t xml:space="preserve"> în străinătate:  20 puncte/fiecare societate (asociaţie) x nr. ani</t>
  </si>
  <si>
    <t>naţionale ARACIS, CNATDCU, CNCS, CNFIS etc: 100 puncte x nr. Ani</t>
  </si>
  <si>
    <t xml:space="preserve">          Academii de ramură (ASAS etc) : 80 puncte x nr. ani</t>
  </si>
  <si>
    <t>l. Invited speaker conferinte / congrese:</t>
  </si>
  <si>
    <t xml:space="preserve"> naţionale         (20 puncte x nr. cazuri)</t>
  </si>
  <si>
    <t>Total 3.1. Granturi / contracte</t>
  </si>
  <si>
    <t xml:space="preserve">3.1. Granturi / contracte
</t>
  </si>
  <si>
    <t>Director/responsabil partener: Vpi/500</t>
  </si>
  <si>
    <t>Director/responsabil partener: Vpi/500 in ultimii 5 ani</t>
  </si>
  <si>
    <t>Membru în colectivul de cercetare: Vpi/(500 x k)</t>
  </si>
  <si>
    <t>Membru în colectivul de cercetare: Vpi/(500 x k) 
in ultimii 5 ani</t>
  </si>
  <si>
    <t xml:space="preserve">3.2. Granturi/contracte din ultimii 5 ani (pe transe anuale) se cuantifica 100%   </t>
  </si>
  <si>
    <t>3.4. Proiecte de tip F.D.I. (pentru directorul de proiect)</t>
  </si>
  <si>
    <t>Director proiect: Vpi/800</t>
  </si>
  <si>
    <t>Director proiect: Vpi/800 in ultimii 5 ani</t>
  </si>
  <si>
    <t>colegi:                     media .... x 10 pct.</t>
  </si>
  <si>
    <r>
      <t>dir. departament</t>
    </r>
    <r>
      <rPr>
        <i/>
        <sz val="12"/>
        <color indexed="8"/>
        <rFont val="Times New Roman"/>
        <family val="1"/>
      </rPr>
      <t xml:space="preserve">:    </t>
    </r>
    <r>
      <rPr>
        <sz val="12"/>
        <color indexed="8"/>
        <rFont val="Times New Roman"/>
        <family val="1"/>
      </rPr>
      <t>media … x 10 pct.</t>
    </r>
  </si>
  <si>
    <t>studenţi:                  media ... x 10 pct.</t>
  </si>
  <si>
    <r>
      <t xml:space="preserve">Membru în colectivul de cercetare: </t>
    </r>
    <r>
      <rPr>
        <sz val="11"/>
        <color indexed="8"/>
        <rFont val="Calibri"/>
        <family val="2"/>
        <scheme val="minor"/>
      </rPr>
      <t xml:space="preserve">Vpi/(500 x k) </t>
    </r>
    <r>
      <rPr>
        <sz val="11"/>
        <color theme="1"/>
        <rFont val="Calibri"/>
        <family val="2"/>
        <scheme val="minor"/>
      </rPr>
      <t>in ultimii 5 ani</t>
    </r>
  </si>
  <si>
    <r>
      <t xml:space="preserve">Punctaj echivalent pentru 5 ani de activitate*: PE.4=(4.1+4.2+4.3+4.4+4.5) : (N-5) ani vechime x 5 ani 
</t>
    </r>
    <r>
      <rPr>
        <i/>
        <sz val="12"/>
        <color indexed="8"/>
        <rFont val="Calibri"/>
        <family val="2"/>
        <scheme val="minor"/>
      </rPr>
      <t>(la vechime mai mare de 10 ani)</t>
    </r>
  </si>
  <si>
    <r>
      <t>Academii de ramură (ASAS etc)</t>
    </r>
    <r>
      <rPr>
        <i/>
        <sz val="12"/>
        <color indexed="8"/>
        <rFont val="Calibri"/>
        <family val="2"/>
        <scheme val="minor"/>
      </rPr>
      <t xml:space="preserve"> : </t>
    </r>
    <r>
      <rPr>
        <sz val="11"/>
        <color theme="1"/>
        <rFont val="Calibri"/>
        <family val="2"/>
        <scheme val="minor"/>
      </rPr>
      <t xml:space="preserve"> 8</t>
    </r>
    <r>
      <rPr>
        <i/>
        <sz val="11"/>
        <color indexed="8"/>
        <rFont val="Calibri"/>
        <family val="2"/>
        <scheme val="minor"/>
      </rPr>
      <t>0 puncte x nr. ani</t>
    </r>
  </si>
  <si>
    <r>
      <t>în străinătate- Academii de specialitate recunoscute științific la nivel mondial: 100</t>
    </r>
    <r>
      <rPr>
        <i/>
        <sz val="11"/>
        <color indexed="8"/>
        <rFont val="Calibri"/>
        <family val="2"/>
        <scheme val="minor"/>
      </rPr>
      <t xml:space="preserve"> puncte x nr. ani</t>
    </r>
  </si>
  <si>
    <r>
      <t xml:space="preserve">în ţară: </t>
    </r>
    <r>
      <rPr>
        <i/>
        <sz val="11"/>
        <color indexed="8"/>
        <rFont val="Calibri"/>
        <family val="2"/>
        <scheme val="minor"/>
      </rPr>
      <t>10 puncte/fiecare societate (asociaţie) x nr. ani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</si>
  <si>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în străinătate: </t>
    </r>
    <r>
      <rPr>
        <i/>
        <sz val="11"/>
        <color indexed="8"/>
        <rFont val="Calibri"/>
        <family val="2"/>
        <scheme val="minor"/>
      </rPr>
      <t>20 puncte/fiecare societate (asociaţie) x nr. ani</t>
    </r>
  </si>
  <si>
    <r>
      <t xml:space="preserve">în ţară: </t>
    </r>
    <r>
      <rPr>
        <i/>
        <sz val="11"/>
        <color indexed="8"/>
        <rFont val="Calibri"/>
        <family val="2"/>
        <scheme val="minor"/>
      </rPr>
      <t>25 puncte/fiecare caz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</si>
  <si>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în străinătate:  </t>
    </r>
    <r>
      <rPr>
        <i/>
        <sz val="11"/>
        <color indexed="8"/>
        <rFont val="Calibri"/>
        <family val="2"/>
        <scheme val="minor"/>
      </rPr>
      <t>50 puncte/fiecare caz</t>
    </r>
  </si>
  <si>
    <t>studenţi:                                              media  ...  x 10 pct.</t>
  </si>
  <si>
    <t>colegi:                                                  media  ...  x 10 pct.</t>
  </si>
  <si>
    <t>dir. departament:                           media  ...  x 10 pct.</t>
  </si>
  <si>
    <r>
      <t xml:space="preserve">Punctaj echivalent pentru 5 ani de activitate* PE.1=(1.1+1.2+1.3):(N-5) ani vechime in invatamant * 5 ani 
</t>
    </r>
    <r>
      <rPr>
        <i/>
        <sz val="11"/>
        <color indexed="8"/>
        <rFont val="Calibri"/>
        <family val="2"/>
        <scheme val="minor"/>
      </rPr>
      <t>(la vechime mai mare de 10 ani)</t>
    </r>
  </si>
  <si>
    <r>
      <t xml:space="preserve">Punctaj echivalent pentru 5 ani de activitate* PE.2=(2.1+2.2):(N-5) ani vechime in invatamant * 5 ani 
</t>
    </r>
    <r>
      <rPr>
        <i/>
        <sz val="11"/>
        <color indexed="8"/>
        <rFont val="Calibri"/>
        <family val="2"/>
        <scheme val="minor"/>
      </rPr>
      <t>(la o vechime mai mare de 10 ani)</t>
    </r>
  </si>
  <si>
    <t>FISA DE AUTOEVALUARE</t>
  </si>
  <si>
    <r>
      <t xml:space="preserve">naţionale - ARACIS, CNATDCU, CNCSIS, CNFIS etc: 
                                                                                             </t>
    </r>
    <r>
      <rPr>
        <i/>
        <sz val="11"/>
        <color indexed="8"/>
        <rFont val="Calibri"/>
        <family val="2"/>
        <scheme val="minor"/>
      </rPr>
      <t>100 puncte x nr. ani</t>
    </r>
  </si>
  <si>
    <t>naţionale (30 puncte x nr. cazuri)</t>
  </si>
  <si>
    <t>Nr. Cazuri</t>
  </si>
  <si>
    <t>internaţionale (60 puncte x nr. cazuri)</t>
  </si>
  <si>
    <t>2. Orice activitate cuantificată prin puncte trebuie să fie justificată printr-un document.</t>
  </si>
  <si>
    <t>3. Manifestare ştiinţifică internaţională : cea la care există colectiv de organizare internaţional, toate activităţile ştiinţifice se desfăşoară în engleză, iar ponderea participanţilor din străinătate de min. 50% din numărul total al participanţilor.</t>
  </si>
  <si>
    <t>4. Listele revistelor cotate ISI şi a celor din categoria B/B+ pot fi consultate pe site-urile http://science.thomsonreuters.com/cgi-bin/jrnlst/jloptions.cgi?PC=D, respectiv, www.cncs.ro</t>
  </si>
  <si>
    <t>5. Articolele publicate în reviste cotate ISI pot fi căutate prin site-ul : www.webofknowledge.com.</t>
  </si>
  <si>
    <t>7. Se va atasa xerocopia proiectului/ grantului din care sa rezultate calitatea avută de fiecare membru.</t>
  </si>
  <si>
    <t>8. ** = BDI din ordinele de ministru privind aprobarea criteriilor minime pentru conferentiar/profesor</t>
  </si>
  <si>
    <t>11. Candidatul va transmite la Comisia de verificare și fișa de calcul în format electronic.</t>
  </si>
  <si>
    <t>NOTA:1. La prezenta grilă se vor anexa următoarele : lista manualelor, îndrumătoarelor pe categorii de publicare  (autor(i), titlu; anul apariţiei, editura, ISBN, nr. de pagini la formatul cartii, nr. de  pagini la convertiore in format academic, nr de puncte rezultat din calcul); lista contractelor de cercetare câştigate (finanţator, cod/nr./an, titlu, colectiv cercetare ); lista lucrărilor ştiinţifice publicate (autor(ii), titlu, an, revista în care a fost publicată, locul, ISSN, pag., nr. de puncte rezultat din calcul); lista cărţilor/lucrărilor premiate (titlu, an, denumire premiu, instituţia/organismul ce l-a acordat) ; xerocopii pentru criteriile 5, 6, 7, 13, 14 şi 15; listele pentru criteriile 8 ,9, 10, 11; pentru lucrările ISI se precizează link-ul unde pot fi vizualizate; alte documente justificative; pentru criteriul 12, media reprezintă transpunerea pe scara de 1 la 10 a evaluării (după caz) ; se va anexa câte o pagină full text (fără titlu, figuti, tabele etc.) de la fiecare carte raportată.</t>
  </si>
  <si>
    <t>7. * = Punctajul echivalent se calculează numai pentru vechimea mai mare de 5 ani, conform formulelor de la Cap A si B. Pentru ultimii 5 ani, punctajul se cuantifica 100%.</t>
  </si>
  <si>
    <t>6.  Lista contractelor de cecetare va fi vizată de DCITT şi de Departamentului financiar contabil, prin care să se confirme derularea acestora prin USAMV din Iaşi şi valoarea bugetelor proiectelor (Vpi).</t>
  </si>
  <si>
    <t>9.*** = Se punctează societățile/asociațiile științifice sau profesionale la care candidatul are activitate de minimum 2 ani.</t>
  </si>
  <si>
    <t xml:space="preserve">10. Pentru îndrumări de lucrări/proiecte licență/diplomă/disertație se va atașa documentul eliberat de secretariatele facultăților. </t>
  </si>
  <si>
    <t>singur autor = 8 pct x nr. pag.</t>
  </si>
  <si>
    <t xml:space="preserve">colectiv autori = (8 pct x nr. pag.): nr. autori </t>
  </si>
  <si>
    <r>
      <t xml:space="preserve">3.2. Granturi/contracte din ultimii 5 ani (pe transe anuale) </t>
    </r>
    <r>
      <rPr>
        <b/>
        <i/>
        <sz val="12"/>
        <rFont val="Times New Roman"/>
        <family val="1"/>
      </rPr>
      <t>se cuantifica 100%</t>
    </r>
    <r>
      <rPr>
        <b/>
        <sz val="12"/>
        <rFont val="Times New Roman"/>
        <family val="1"/>
      </rPr>
      <t xml:space="preserve">             </t>
    </r>
  </si>
  <si>
    <t xml:space="preserve"> prim autor/coordonator/corespondent: +6 puncte/lucrare </t>
  </si>
  <si>
    <t>b. Lucrări publicate în extenso (full text papers)</t>
  </si>
  <si>
    <t xml:space="preserve"> prim autor/coordonator/corespondent: +20 puncte/lucrare</t>
  </si>
  <si>
    <t xml:space="preserve"> coautor: (100 +50 x FI puncte/lucrare): nr. autori</t>
  </si>
  <si>
    <t xml:space="preserve"> prim autor/coordonator/corespondent: +30 puncte/lucrare</t>
  </si>
  <si>
    <t xml:space="preserve"> coautor: (100 +100 x FI puncte/lucrare): nr. autori</t>
  </si>
  <si>
    <t>prim autor/coordonator/corespondent: F.I. ≥ 1:  +80 puncte/lucrare</t>
  </si>
  <si>
    <t>prim autor/coordonator/corespondent: zona galbena : +100 puncte/lucrare</t>
  </si>
  <si>
    <t xml:space="preserve"> coautor: (100 +200 x FI puncte/lucrare): nr. autori</t>
  </si>
  <si>
    <t xml:space="preserve"> prim autor/coordonator/corespondent: +120 puncte/lucrare</t>
  </si>
  <si>
    <t xml:space="preserve"> prim autor/coordonator/corespondent: + 20 puncte/lucrare </t>
  </si>
  <si>
    <t>4.4. În volume ale unor Congrese/Conferinţe internaţionale pe domenii cu ISBN/ISSN</t>
  </si>
  <si>
    <t xml:space="preserve"> prim autor/coordonator/corespondent:  + 12 puncte/lucrare </t>
  </si>
  <si>
    <t>4.5. În volume ale altor manifestări ştiintifice naţionale cu ISBN/ISSN</t>
  </si>
  <si>
    <t xml:space="preserve"> prim autor/coordonator/corespondent:  + 6 puncte/lucrare </t>
  </si>
  <si>
    <t xml:space="preserve">licenţă/diplomă/dizertaţie/gradatie de merit : 20 puncte x nr. ani </t>
  </si>
  <si>
    <t>i. Responsabil cu întocmirea orarului: 30 pct/an</t>
  </si>
  <si>
    <t>La nivel de program de studiu 20 pct./an</t>
  </si>
  <si>
    <t>La nivel de facultate                30 pct./an</t>
  </si>
  <si>
    <t>La nivel de universitate            40 pct./an</t>
  </si>
  <si>
    <t xml:space="preserve"> internaţionale  (60 puncte x nr. cazuri)</t>
  </si>
  <si>
    <r>
      <t xml:space="preserve">singur autor = </t>
    </r>
    <r>
      <rPr>
        <b/>
        <sz val="11"/>
        <rFont val="Calibri"/>
        <family val="2"/>
        <scheme val="minor"/>
      </rPr>
      <t>8  pct. x nr. Pag</t>
    </r>
  </si>
  <si>
    <r>
      <t xml:space="preserve">singur autor = </t>
    </r>
    <r>
      <rPr>
        <b/>
        <sz val="11"/>
        <rFont val="Calibri"/>
        <family val="2"/>
        <scheme val="minor"/>
      </rPr>
      <t>8  pct. x nr. Pag</t>
    </r>
    <r>
      <rPr>
        <sz val="11"/>
        <rFont val="Calibri"/>
        <family val="2"/>
        <scheme val="minor"/>
      </rPr>
      <t xml:space="preserve"> in ultimii 5 ani</t>
    </r>
  </si>
  <si>
    <r>
      <t>colectiv autori =</t>
    </r>
    <r>
      <rPr>
        <b/>
        <sz val="11"/>
        <rFont val="Calibri"/>
        <family val="2"/>
        <scheme val="minor"/>
      </rPr>
      <t xml:space="preserve"> (8  pct. x nr. pag) : nr. autori </t>
    </r>
  </si>
  <si>
    <r>
      <t xml:space="preserve">colectiv autori = </t>
    </r>
    <r>
      <rPr>
        <b/>
        <sz val="11"/>
        <rFont val="Calibri"/>
        <family val="2"/>
        <scheme val="minor"/>
      </rPr>
      <t>(8  pct. x nr. pag) : nr. autori</t>
    </r>
    <r>
      <rPr>
        <sz val="11"/>
        <rFont val="Calibri"/>
        <family val="2"/>
        <scheme val="minor"/>
      </rPr>
      <t xml:space="preserve"> in ultimii 5 ani</t>
    </r>
  </si>
  <si>
    <t>coautor:  (100 +50*FI puncte/lucrare) : nr. autori</t>
  </si>
  <si>
    <t>coautor:  (100 +50*FI puncte/lucrare ): nr. autori in ultimii 5 ani</t>
  </si>
  <si>
    <t>coautor:  (100 +100*FI puncte/lucrare) : nr. autori</t>
  </si>
  <si>
    <t>coautor:  (100 +200*FI puncte/lucrare) : nr. autori</t>
  </si>
  <si>
    <t xml:space="preserve">prim autor/coordonator: = +3 pct./lucrare </t>
  </si>
  <si>
    <t>prim autor/coordonator = +3 pct./lucrare in ultimii 5 ani</t>
  </si>
  <si>
    <t xml:space="preserve">prim autor/coordonator = +6 pct./lucrare </t>
  </si>
  <si>
    <t>prim autor/coordonator = +6 pct./lucrare in ultimii 5 ani</t>
  </si>
  <si>
    <t xml:space="preserve">prim autor/coordonator/corespondent = +6 pct./lucrare </t>
  </si>
  <si>
    <t>prim autor/coordonator/corespondent = +6 pct./lucrare in ultimii 5 ani</t>
  </si>
  <si>
    <t xml:space="preserve">prim autor/coordonator/corespondent = +20 pct./lucrare </t>
  </si>
  <si>
    <t>prim autor/coordonator/corespondent = +20 pct./lucrare in ultimii 5 ani</t>
  </si>
  <si>
    <t xml:space="preserve">prim autor/coordonator/corespondent = +30 pct./lucrare </t>
  </si>
  <si>
    <t>prim autor/coordonator/corespondent = +30 pct./lucrare  in ultimii 5 ani</t>
  </si>
  <si>
    <t xml:space="preserve">prim autor/coordonator/corespondent F.I. ≥ 1: +80 pct./lucrare </t>
  </si>
  <si>
    <t xml:space="preserve">prim autor/coordonator/corespondent zona galbena: +100 pct./lucrare </t>
  </si>
  <si>
    <t>prim autor/coordonator/corespondent zona galbena: +100 pct./lucrare  ultimii 5 ani</t>
  </si>
  <si>
    <t>prim autor/coordonator/corespondent F.I. ≥ 1: +80 pct./lucrare  
ultimii 5 ani</t>
  </si>
  <si>
    <t xml:space="preserve">prim autor/coordonator/corespondent = +120 pct./lucrare </t>
  </si>
  <si>
    <t>prim autor/coordonator/corespondent = +120 pct./lucrare  in ultimii 5 ani</t>
  </si>
  <si>
    <t xml:space="preserve">prim autor/coordonator/corespondent = +12 pct./lucrare </t>
  </si>
  <si>
    <t>prim autor/coordonator/corespondent = +12 pct./lucrare in ultimii 5 ani</t>
  </si>
  <si>
    <t>prim autor / coordonator = +3 pct./lucrare in ultimii 5 ani</t>
  </si>
  <si>
    <t>prim autor / coordonator = +6 pct./lucrare in ultimii 5 ani</t>
  </si>
  <si>
    <t>prim autor/coordonator/corespondent  F.I. ≥ 1: +80 pct./lucrare  ultimii 5 ani</t>
  </si>
  <si>
    <t>prim autor/coordonator/corespondent  zona galbena: +100 pct./lucrare  ultimii 5 ani</t>
  </si>
  <si>
    <t>prim autor/coordonator/corespondent  = +120 pct./lucrare  in ultimii 5 ani</t>
  </si>
  <si>
    <t>prim autor/coordonator/corespondent  = +20 pct./lucrare in ultimii 5 ani</t>
  </si>
  <si>
    <t>prim autor/coordonator/corespondent  = +12 pct./lucrare in ultimii 5 ani</t>
  </si>
  <si>
    <t>prim autor/coordonator/corespondent  = +6 pct./lucrare in ultimii 5 ani</t>
  </si>
  <si>
    <t>Punctaj echivalent pentru 10 ani de activitate* PE+3.2 (punctajul din ultimii 5 ani  = 100%) + 3.3 
PE= (3.1+3.4):(N-5) ani x 5 ani; 
Vpi = valoarea proiectului/contractului calculată în EURO, la cursul de schimb euro/leu din perioada derulării grantului). k = numar de membri</t>
  </si>
  <si>
    <r>
      <t>licenţă/diplomă/dizertaţie/gradatie de merit : 2</t>
    </r>
    <r>
      <rPr>
        <i/>
        <sz val="11"/>
        <rFont val="Calibri"/>
        <family val="2"/>
        <scheme val="minor"/>
      </rPr>
      <t>0 puncte x nr. ani</t>
    </r>
    <r>
      <rPr>
        <sz val="11"/>
        <rFont val="Calibri"/>
        <family val="2"/>
        <scheme val="minor"/>
      </rPr>
      <t xml:space="preserve"> </t>
    </r>
  </si>
  <si>
    <r>
      <t xml:space="preserve">La nivel de program de studiu </t>
    </r>
    <r>
      <rPr>
        <b/>
        <sz val="11"/>
        <rFont val="Calibri"/>
        <family val="2"/>
        <scheme val="minor"/>
      </rPr>
      <t>20 pct./an</t>
    </r>
  </si>
  <si>
    <r>
      <t xml:space="preserve">La nivel de facultate                    </t>
    </r>
    <r>
      <rPr>
        <b/>
        <sz val="11"/>
        <rFont val="Calibri"/>
        <family val="2"/>
        <scheme val="minor"/>
      </rPr>
      <t>30 pct./an</t>
    </r>
  </si>
  <si>
    <r>
      <t xml:space="preserve">La nivel de universitate             </t>
    </r>
    <r>
      <rPr>
        <b/>
        <sz val="11"/>
        <rFont val="Calibri"/>
        <family val="2"/>
        <scheme val="minor"/>
      </rPr>
      <t>40 pct./an</t>
    </r>
  </si>
  <si>
    <t>PE= ( 3.1+3.4 ) : (N-5) ani x 5 ani; (Vpi = valoarea proiectului/contractului calculată în EURO, la cursul de schimb euro/leu din perioada derulării grantului), k = numar de membri</t>
  </si>
  <si>
    <r>
      <t xml:space="preserve">coordonator lucrare/prim autor = </t>
    </r>
    <r>
      <rPr>
        <i/>
        <sz val="12"/>
        <color indexed="8"/>
        <rFont val="Times New Roman"/>
        <family val="1"/>
      </rPr>
      <t>+25% din pct. total</t>
    </r>
  </si>
  <si>
    <t>coordonator lucrare/prim autor = +25% din pct. total</t>
  </si>
  <si>
    <r>
      <t xml:space="preserve">coordonator lucrare = </t>
    </r>
    <r>
      <rPr>
        <i/>
        <sz val="12"/>
        <color indexed="8"/>
        <rFont val="Times New Roman"/>
        <family val="1"/>
      </rPr>
      <t>+25% din pct. total</t>
    </r>
  </si>
  <si>
    <t>coordonator lucrare/prim autor = +25% din pct. total in ultimii 5 ani</t>
  </si>
  <si>
    <t>coordonator lucrare = +25% din pct. total</t>
  </si>
  <si>
    <t>coordonator lucrare = +25% din pct. total in ultimii 5 ani</t>
  </si>
  <si>
    <t>singur autor = 8  pct. x nr. Pag</t>
  </si>
  <si>
    <t>colectiv autori = (8  pct. x nr. pag) : nr. Autori</t>
  </si>
  <si>
    <t>IOSUD - alte universitati (60 pct x nr. Ani)</t>
  </si>
  <si>
    <t>concurs Decan, Director CSUS: 20 puncte /comisie</t>
  </si>
  <si>
    <t>concurs Decan, Director CSUD: 20 puncte/comisie</t>
  </si>
  <si>
    <t>FACULTATEA DE AGRICULTURA</t>
  </si>
  <si>
    <t>FACULTATEA DE HORTICULTURA</t>
  </si>
  <si>
    <t>FACULTATEA DE INGINERIA RESURSELOR ANIMALE SI ALIMENTARE</t>
  </si>
  <si>
    <t>FACULTATEA DE MEDICINA VETERINARA</t>
  </si>
  <si>
    <t>DEPARTAMENTUL PEDOTEHNICA</t>
  </si>
  <si>
    <t>DEPARTAMENTUL STIINTA PLANTELOR</t>
  </si>
  <si>
    <t>DEPARTAMENTUL AGROECONOMIE</t>
  </si>
  <si>
    <t>DEPARTAMENTUL TEHNOLOGII ALIMENTARE</t>
  </si>
  <si>
    <t>DEPARTAMENTUL STIINTE EXACTE</t>
  </si>
  <si>
    <t>DEPARTAMENTUL TEHNOLOGII HORTICOLE</t>
  </si>
  <si>
    <t>DEPARTAMENTUL STIINTE FUNDAMENTALE IN ZOOTEHNIE</t>
  </si>
  <si>
    <t>DEPARTAMENTUL MANAGEMENTUL PRODUCTIILOR ANIMALE</t>
  </si>
  <si>
    <t>DEPARTAMENTUL PRECLINICI</t>
  </si>
  <si>
    <t>DEPARTAMENTUL CLINICI</t>
  </si>
  <si>
    <t>DEPARTAMENTUL SANATATE PUBLICA</t>
  </si>
  <si>
    <t>Prof. univ. dr.</t>
  </si>
  <si>
    <t>Conf. univ. dr.</t>
  </si>
  <si>
    <t>Lector dr.</t>
  </si>
  <si>
    <t>Sef lucrari dr.</t>
  </si>
  <si>
    <t>Asist. univ. dr.</t>
  </si>
  <si>
    <t>NUME PRENUME</t>
  </si>
  <si>
    <t>UNIVERSITATEA PENTRU STIINTELE VIETII "ION IONESCU DE LA BRAD" IASI</t>
  </si>
  <si>
    <t>pentru acordarea gradatiei de merit 2021-2022, 
aprobata de Senatul Universitatii pentru Stiintele Vietii "Ion Ionescu de la Brad" din Iasi</t>
  </si>
  <si>
    <t>a. Lucrari publicate in rezumat in reviste ISI (ABSTRACT)</t>
  </si>
  <si>
    <t>VIII. Citări ale articolelor ISI/indexate ISI/BDI, în reviste cotate ISI 
(fără autocitări)</t>
  </si>
  <si>
    <t>VIII. Citări ale articolelor ISI/indexate ISI/BDI, în reviste cotate ISI (fără autocitări)</t>
  </si>
  <si>
    <t>IX. Membru activ în academii (ultimii 5 ani)</t>
  </si>
  <si>
    <t>X. Membru activ al unor societăţi (asociaţii) ştiinţifice sau profesionale                      (ultimii 5 ani) maxim 5 societati/ asociatii nationale, rerspectiv din străinatate***:</t>
  </si>
  <si>
    <r>
      <t>XII. Membru în comisii (ultimii 5 ani):</t>
    </r>
    <r>
      <rPr>
        <sz val="12"/>
        <color indexed="8"/>
        <rFont val="Times New Roman"/>
        <family val="1"/>
      </rPr>
      <t xml:space="preserve"> </t>
    </r>
  </si>
  <si>
    <t>XIII. Evaluări (din anul precedent):</t>
  </si>
  <si>
    <t>C. Prestigiul profesional 20% x (IX+X+XI+XII+XIII+XIV+XV)</t>
  </si>
  <si>
    <t>X. Membru activ al unor societăţi (asociaţii) ştiinţifice sau profesionale*** ; (ultimii 5 ani) maxim 5 societati/ asociatii nationale, rerspectiv din străinatate</t>
  </si>
  <si>
    <t xml:space="preserve">XII. Membru în comisii (ultimii 5 ani): </t>
  </si>
  <si>
    <t>B. Activitatea de cercetare 45% * (III+IV+V+VI+VII+VIII)</t>
  </si>
  <si>
    <r>
      <t xml:space="preserve">III. Granturi şi contracte de cercetare ştiinţifică, extensie, formare resurse umane și dezvoltare  câştigate prin competiţie şi derulate prin USV din Iaşi, în ultimii 15 ani </t>
    </r>
    <r>
      <rPr>
        <sz val="14"/>
        <color indexed="8"/>
        <rFont val="Calibri"/>
        <family val="2"/>
        <scheme val="minor"/>
      </rPr>
      <t>(N)</t>
    </r>
  </si>
  <si>
    <t>lucrări publicate în revistele USV Iași, în ultimii 5 ani: 
                                                                     +10 puncte/lucrare (la punctajul inițial)</t>
  </si>
  <si>
    <r>
      <t xml:space="preserve">III. Granturi şi contracte de cercetare ştiinţifică, extensie, formare resurse umane și dezvoltare câştigate prin competiţie şi derulate prin USV din Iaşi, în ultimii 15 ani (N). </t>
    </r>
    <r>
      <rPr>
        <sz val="13"/>
        <color indexed="8"/>
        <rFont val="Times New Roman"/>
        <family val="1"/>
      </rPr>
      <t>Punctaj echivalent pentru 10 ani de activitate*: PE+3.2 (punctajul din ultimii 5 ani = 100%)+3.3</t>
    </r>
  </si>
  <si>
    <t>Lucrări publicate în revistele USV Iași, în ultimii 5 ani: +10 puncte/lucrare (la punctajul inițial)</t>
  </si>
  <si>
    <t>USV si &lt;= 5 ani</t>
  </si>
  <si>
    <t>Senat, Consiliul de administrație: (60 pct. x nr. ani); 
membru în Consiliul facultății: (40 pct. x nr. ani); 
membru în CSUD: IOSUD-USV Iași (50 pct. x nr. ani), 
IOSUD-alte universități (60 pct. x nr. ani)</t>
  </si>
  <si>
    <t>membru in CSUD: IOSUD-USV Iasi (50 pct x nr. Ani)</t>
  </si>
  <si>
    <t>B. Activitatea de cercetare 45% x (III+IV+V+VI+VII+VIII)</t>
  </si>
  <si>
    <t>1.2. Cărțile raportate trebuie sa se regasească în Biblioteca Națională/ Biblioteca USV Iasi/ Biblioteca Universitară Iași,  Biblioteca Departamentului/disciplinei.</t>
  </si>
  <si>
    <r>
      <t xml:space="preserve">1.4. </t>
    </r>
    <r>
      <rPr>
        <sz val="12"/>
        <color indexed="8"/>
        <rFont val="Times New Roman"/>
        <family val="1"/>
      </rPr>
      <t xml:space="preserve"> Publicatiile din ultimii 5 ani (la categoriile 1.1, 1.2, 1.3) se cuantifica 100%</t>
    </r>
  </si>
  <si>
    <t>revista USV</t>
  </si>
  <si>
    <t>TOTAL A+B</t>
  </si>
  <si>
    <t>Data:                                                                                                         Semnătura</t>
  </si>
  <si>
    <r>
      <t xml:space="preserve">în străinătate: </t>
    </r>
    <r>
      <rPr>
        <b/>
        <sz val="11"/>
        <color rgb="FFFF0000"/>
        <rFont val="Calibri"/>
        <family val="2"/>
        <scheme val="minor"/>
      </rPr>
      <t>20 pct/caz (max 5 cazuri / an)</t>
    </r>
  </si>
  <si>
    <r>
      <t xml:space="preserve">k. Membru comisii admitere:             20 pct x ani </t>
    </r>
    <r>
      <rPr>
        <b/>
        <sz val="11"/>
        <color rgb="FFFF0000"/>
        <rFont val="Calibri"/>
        <family val="2"/>
        <scheme val="minor"/>
      </rPr>
      <t>(max 5 ani)</t>
    </r>
  </si>
  <si>
    <t>în ţară:  Academia Română: 150 puncte x nr. ani</t>
  </si>
  <si>
    <t>XIV. Recenzii reviste cotate ISI (maxim 12 recenzii/an):</t>
  </si>
  <si>
    <r>
      <t xml:space="preserve">naţionale (30/20/15/15 puncte x </t>
    </r>
    <r>
      <rPr>
        <sz val="11"/>
        <color rgb="FFFF0000"/>
        <rFont val="Calibri"/>
        <family val="2"/>
        <scheme val="minor"/>
      </rPr>
      <t>nr. cazur</t>
    </r>
    <r>
      <rPr>
        <sz val="11"/>
        <color theme="1"/>
        <rFont val="Calibri"/>
        <family val="2"/>
        <scheme val="minor"/>
      </rPr>
      <t>i)</t>
    </r>
  </si>
  <si>
    <r>
      <t xml:space="preserve">internaţionale (60/40/30/30 puncte x </t>
    </r>
    <r>
      <rPr>
        <sz val="11"/>
        <color rgb="FFFF0000"/>
        <rFont val="Calibri"/>
        <family val="2"/>
        <scheme val="minor"/>
      </rPr>
      <t>nr. cazuri</t>
    </r>
    <r>
      <rPr>
        <sz val="11"/>
        <color theme="1"/>
        <rFont val="Calibri"/>
        <family val="2"/>
        <scheme val="minor"/>
      </rPr>
      <t>)</t>
    </r>
  </si>
  <si>
    <r>
      <t>naţionale (10 puncte x nr.</t>
    </r>
    <r>
      <rPr>
        <sz val="11"/>
        <color rgb="FFFF0000"/>
        <rFont val="Calibri"/>
        <family val="2"/>
        <scheme val="minor"/>
      </rPr>
      <t xml:space="preserve"> cazuri</t>
    </r>
    <r>
      <rPr>
        <sz val="11"/>
        <color theme="1"/>
        <rFont val="Calibri"/>
        <family val="2"/>
        <scheme val="minor"/>
      </rPr>
      <t>)</t>
    </r>
  </si>
  <si>
    <r>
      <t xml:space="preserve">internaţionale (20 puncte x nr. </t>
    </r>
    <r>
      <rPr>
        <sz val="11"/>
        <color rgb="FFFF0000"/>
        <rFont val="Calibri"/>
        <family val="2"/>
        <scheme val="minor"/>
      </rPr>
      <t>cazuri</t>
    </r>
    <r>
      <rPr>
        <sz val="11"/>
        <color theme="1"/>
        <rFont val="Calibri"/>
        <family val="2"/>
        <scheme val="minor"/>
      </rPr>
      <t>)</t>
    </r>
  </si>
  <si>
    <t>m. Tutore de an la studenți: 10 pct/an</t>
  </si>
  <si>
    <t>m. Tutore de an la studenți: 30 pct/an</t>
  </si>
  <si>
    <t>n. Indrumări lucrări de licenţă/diplomă/disertaţie 5 puncte x nr. lucrări (maxim 5 lucr./an / program de studii)</t>
  </si>
  <si>
    <t xml:space="preserve">o. Referent ştiinţific comisii de doctorat (max 10/an)
</t>
  </si>
  <si>
    <r>
      <t>internaţionale (</t>
    </r>
    <r>
      <rPr>
        <b/>
        <sz val="11"/>
        <color rgb="FFFF0000"/>
        <rFont val="Calibri"/>
        <family val="2"/>
        <scheme val="minor"/>
      </rPr>
      <t>60 puncte x nr.</t>
    </r>
    <r>
      <rPr>
        <sz val="11"/>
        <color rgb="FFFF0000"/>
        <rFont val="Calibri"/>
        <family val="2"/>
        <scheme val="minor"/>
      </rPr>
      <t>)</t>
    </r>
  </si>
  <si>
    <r>
      <t>naţionale         (</t>
    </r>
    <r>
      <rPr>
        <sz val="12"/>
        <color indexed="8"/>
        <rFont val="Times New Roman"/>
        <family val="1"/>
      </rPr>
      <t>30/20/15/15 puncte x nr. cazuri)</t>
    </r>
  </si>
  <si>
    <r>
      <t>internaţionale   (</t>
    </r>
    <r>
      <rPr>
        <sz val="12"/>
        <color indexed="8"/>
        <rFont val="Times New Roman"/>
        <family val="1"/>
      </rPr>
      <t>60/40/30/30 puncte x nr. nr. cazuri)</t>
    </r>
  </si>
  <si>
    <r>
      <t>naţionale          (</t>
    </r>
    <r>
      <rPr>
        <sz val="12"/>
        <color indexed="8"/>
        <rFont val="Times New Roman"/>
        <family val="1"/>
      </rPr>
      <t>10 puncte x nr. cazuri)</t>
    </r>
  </si>
  <si>
    <r>
      <t>internaţionale   (</t>
    </r>
    <r>
      <rPr>
        <sz val="12"/>
        <color indexed="8"/>
        <rFont val="Times New Roman"/>
        <family val="1"/>
      </rPr>
      <t>20 puncte x nr. cazuri)</t>
    </r>
  </si>
  <si>
    <t>o. Referent ştiinţific comisii de doctorat (max 10 comisii / an):</t>
  </si>
  <si>
    <t xml:space="preserve">n. Indrumări lucrări de licenţă/diplomă/disertaţie: 5 puncte x nr. lucrări 
(maxim 5 lucr./an /program de studii) </t>
  </si>
  <si>
    <t>f. Teze în cotutelă/îndrumare doctoranzi străini în stagiu 50 puncte x nr. doctoranzi</t>
  </si>
  <si>
    <r>
      <t>e. Conducător ştiinţific doctorat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40 puncte x nr. ani</t>
    </r>
  </si>
  <si>
    <t>d. Moderator la manifestări ştiinţifice</t>
  </si>
  <si>
    <t>c. Organizator de manifestări ştiinţifice: preşedinte/vicepreşedinte/ membru în comitet de organizare/membru în comitet ştiinţific</t>
  </si>
  <si>
    <t>b. Membru în structurile de conducere USV Iași:
Senat, Consiliul de administrație: (60 pct. x nr. ani); 
membru în Consiliul facultății: (40 pct. x nr. ani); 
membru în CSUD: IOSUD-USV Iași (50 pct. x nr. ani), 
IOSUD-alte universități (60 pct. x nr. ani)</t>
  </si>
  <si>
    <t>a. Membru în conducerea unor Acad./Soc./Asoc. ştiinţifice, profesionale: </t>
  </si>
  <si>
    <t>g. Coordonare Programe studii,  CCOC, SAS, BRI, Birou Erasmus: 50 puncte/fiecare caz</t>
  </si>
  <si>
    <t>i. - Responsabil cu întocmirea orarului: 30 pct/an</t>
  </si>
  <si>
    <t>h. - Responsabil cu activități studențești din cămine: 10 pct/an</t>
  </si>
  <si>
    <t>g. Coordonare Programe studii, CCOC, SAS, BRI, Birou Erasmus:  50 puncte/fiecare caz</t>
  </si>
  <si>
    <t>f. Teze în cotutelă/îndrumare doctoranzi străini în stagiu 
50 puncte x nr. Doctoranzi</t>
  </si>
  <si>
    <t>e. Conducător ştiinţific doctorat  40 puncte x nr. Ani</t>
  </si>
  <si>
    <t>c. Organizator de manifestări ştiinţifice:preşedinte/vicepreşedinte/ membru în comitet de organizare/membru în comitet ştiinţific</t>
  </si>
  <si>
    <t>b. Membru în structurile de conducere ale USV din Iaşi:</t>
  </si>
  <si>
    <t>a. Membru în conducerea unor Acad./Soc./Asoc. ştiinţifice, profesionale</t>
  </si>
  <si>
    <r>
      <t>XI.</t>
    </r>
    <r>
      <rPr>
        <b/>
        <sz val="12"/>
        <color rgb="FF92D050"/>
        <rFont val="Calibri"/>
        <family val="2"/>
        <scheme val="minor"/>
      </rPr>
      <t xml:space="preserve"> Membru în colegiul de redacţie/referent stiintific la reviste indexate BD</t>
    </r>
    <r>
      <rPr>
        <b/>
        <sz val="12"/>
        <color theme="1"/>
        <rFont val="Calibri"/>
        <family val="2"/>
        <scheme val="minor"/>
      </rPr>
      <t xml:space="preserve">I </t>
    </r>
    <r>
      <rPr>
        <b/>
        <sz val="12"/>
        <color rgb="FFFF0000"/>
        <rFont val="Calibri"/>
        <family val="2"/>
        <scheme val="minor"/>
      </rPr>
      <t>max. 5 cazuri:</t>
    </r>
  </si>
  <si>
    <r>
      <t>comisii abilitare, concurs/ promovare prof. sau conf: 
10 puncte/comisie</t>
    </r>
    <r>
      <rPr>
        <sz val="11"/>
        <color rgb="FFFF0000"/>
        <rFont val="Calibri"/>
        <family val="2"/>
        <scheme val="minor"/>
      </rPr>
      <t xml:space="preserve"> (max. 5</t>
    </r>
    <r>
      <rPr>
        <sz val="11"/>
        <color rgb="FF92D050"/>
        <rFont val="Calibri"/>
        <family val="2"/>
        <scheme val="minor"/>
      </rPr>
      <t xml:space="preserve"> comisii </t>
    </r>
    <r>
      <rPr>
        <sz val="11"/>
        <color rgb="FFFF0000"/>
        <rFont val="Calibri"/>
        <family val="2"/>
        <scheme val="minor"/>
      </rPr>
      <t>/an)</t>
    </r>
  </si>
  <si>
    <r>
      <t xml:space="preserve">Editor </t>
    </r>
    <r>
      <rPr>
        <sz val="11"/>
        <color rgb="FF92D050"/>
        <rFont val="Calibri"/>
        <family val="2"/>
        <scheme val="minor"/>
      </rPr>
      <t>asociat /</t>
    </r>
    <r>
      <rPr>
        <sz val="11"/>
        <color rgb="FFFF0000"/>
        <rFont val="Calibri"/>
        <family val="2"/>
        <scheme val="minor"/>
      </rPr>
      <t xml:space="preserve"> invitat la reviste ISI  cu factor de impact în stainatate 50 pct/caz, </t>
    </r>
    <r>
      <rPr>
        <sz val="11"/>
        <color rgb="FF92D050"/>
        <rFont val="Calibri"/>
        <family val="2"/>
        <scheme val="minor"/>
      </rPr>
      <t>max 5 cazuri</t>
    </r>
  </si>
  <si>
    <t>1.3. Pentru încadrarea în categoria cărți universitare/manuale/monografii, trebuie indeplinite cerințele prevăzute în Normele privind folosirea materialelor publicate care au ISBN în evaluările interne din cadrul USV Iasi, aprobate de Senat</t>
  </si>
  <si>
    <r>
      <t xml:space="preserve">XI. </t>
    </r>
    <r>
      <rPr>
        <b/>
        <sz val="12"/>
        <rFont val="Times New Roman"/>
        <family val="1"/>
      </rPr>
      <t xml:space="preserve">Membru în colegiul de redacţie/referent stiintific la reviste indexate BDI
</t>
    </r>
    <r>
      <rPr>
        <b/>
        <sz val="10"/>
        <rFont val="Times New Roman"/>
        <family val="1"/>
      </rPr>
      <t xml:space="preserve"> </t>
    </r>
    <r>
      <rPr>
        <b/>
        <sz val="12"/>
        <rFont val="Times New Roman"/>
        <family val="1"/>
      </rPr>
      <t>(ultimii 5 ani) max 5 cazuri</t>
    </r>
  </si>
  <si>
    <r>
      <rPr>
        <b/>
        <sz val="12"/>
        <rFont val="Times New Roman"/>
        <family val="1"/>
      </rPr>
      <t xml:space="preserve">XIV. </t>
    </r>
    <r>
      <rPr>
        <b/>
        <i/>
        <sz val="12"/>
        <rFont val="Times New Roman"/>
        <family val="1"/>
      </rPr>
      <t>Recenzor reviste cotate ISI (maxim 12 recenzii / an):</t>
    </r>
  </si>
  <si>
    <t>Editor asociat / invitat la reviste ISI, cu factor de impact, în stainatate 50 pct/caz        (max 5 cazuri)</t>
  </si>
  <si>
    <r>
      <t>comisii abilitare, concurs/promovare prof. sau conf.: 10 puncte/comisie</t>
    </r>
    <r>
      <rPr>
        <sz val="12"/>
        <color rgb="FFFF0000"/>
        <rFont val="Times New Roman"/>
        <family val="1"/>
      </rPr>
      <t xml:space="preserve">                     </t>
    </r>
    <r>
      <rPr>
        <sz val="12"/>
        <rFont val="Times New Roman"/>
        <family val="1"/>
      </rPr>
      <t>(max 5 comisii / an)</t>
    </r>
  </si>
  <si>
    <r>
      <t xml:space="preserve">naţionale        (30 puncte x </t>
    </r>
    <r>
      <rPr>
        <sz val="12"/>
        <rFont val="Times New Roman"/>
        <family val="1"/>
      </rPr>
      <t>nr. cazuri)</t>
    </r>
  </si>
  <si>
    <r>
      <t>internaţionale (</t>
    </r>
    <r>
      <rPr>
        <sz val="12"/>
        <color indexed="8"/>
        <rFont val="Times New Roman"/>
        <family val="1"/>
      </rPr>
      <t>60 puncte x</t>
    </r>
    <r>
      <rPr>
        <sz val="12"/>
        <rFont val="Times New Roman"/>
        <family val="1"/>
      </rPr>
      <t xml:space="preserve"> nr. cazuri</t>
    </r>
    <r>
      <rPr>
        <sz val="12"/>
        <color indexed="8"/>
        <rFont val="Times New Roman"/>
        <family val="1"/>
      </rPr>
      <t>)</t>
    </r>
  </si>
  <si>
    <t>k. Membru comisii admitere: 20 pct x nr de ani (max 5 ani)</t>
  </si>
  <si>
    <r>
      <t>in strainatate: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20 pct/caz (max 5 cazuri /an)</t>
    </r>
  </si>
  <si>
    <t xml:space="preserve">Aprobată în Ședința Senatului USV din 22 octombrie 2021 </t>
  </si>
  <si>
    <t>PREȘEDINTE SENAT,                                                                         R E C T O R,</t>
  </si>
  <si>
    <t>Prof. univ. dr. Vasile VÎNTU                                       Prof. univ. dr. Gerard JITĂREANU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</si>
</sst>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8"/>
      <name val="Calibri"/>
      <family val="2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3"/>
      <color indexed="8"/>
      <name val="Times New Roman"/>
      <family val="1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theme="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408">
    <xf numFmtId="0" fontId="0" fillId="0" borderId="0" xfId="0"/>
    <xf numFmtId="0" fontId="0" fillId="0" borderId="0" xfId="0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1" fillId="0" borderId="0" xfId="0" applyFont="1" applyAlignment="1" applyProtection="1">
      <alignment horizontal="right" wrapText="1"/>
    </xf>
    <xf numFmtId="2" fontId="11" fillId="0" borderId="0" xfId="0" applyNumberFormat="1" applyFont="1" applyAlignment="1" applyProtection="1">
      <alignment horizontal="left" vertical="center"/>
    </xf>
    <xf numFmtId="0" fontId="10" fillId="0" borderId="10" xfId="0" applyFont="1" applyFill="1" applyBorder="1" applyProtection="1"/>
    <xf numFmtId="0" fontId="14" fillId="0" borderId="6" xfId="0" applyFont="1" applyFill="1" applyBorder="1" applyProtection="1"/>
    <xf numFmtId="0" fontId="10" fillId="0" borderId="14" xfId="0" applyFont="1" applyFill="1" applyBorder="1" applyAlignment="1" applyProtection="1"/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14" xfId="1" applyFont="1" applyFill="1" applyBorder="1" applyProtection="1"/>
    <xf numFmtId="0" fontId="16" fillId="0" borderId="3" xfId="1" applyFont="1" applyFill="1" applyBorder="1" applyProtection="1"/>
    <xf numFmtId="0" fontId="16" fillId="0" borderId="12" xfId="1" applyFont="1" applyFill="1" applyBorder="1" applyProtection="1"/>
    <xf numFmtId="0" fontId="16" fillId="0" borderId="6" xfId="1" applyFont="1" applyFill="1" applyBorder="1" applyProtection="1">
      <protection locked="0"/>
    </xf>
    <xf numFmtId="2" fontId="16" fillId="0" borderId="10" xfId="1" applyNumberFormat="1" applyFont="1" applyFill="1" applyBorder="1"/>
    <xf numFmtId="0" fontId="16" fillId="0" borderId="7" xfId="1" applyFont="1" applyFill="1" applyBorder="1" applyProtection="1"/>
    <xf numFmtId="0" fontId="0" fillId="0" borderId="10" xfId="0" applyFont="1" applyFill="1" applyBorder="1" applyProtection="1"/>
    <xf numFmtId="0" fontId="0" fillId="0" borderId="6" xfId="0" applyFont="1" applyFill="1" applyBorder="1" applyProtection="1"/>
    <xf numFmtId="0" fontId="0" fillId="0" borderId="3" xfId="0" applyFont="1" applyFill="1" applyBorder="1" applyProtection="1"/>
    <xf numFmtId="0" fontId="0" fillId="0" borderId="8" xfId="0" applyFont="1" applyFill="1" applyBorder="1" applyProtection="1"/>
    <xf numFmtId="0" fontId="10" fillId="0" borderId="6" xfId="0" applyFont="1" applyFill="1" applyBorder="1" applyProtection="1"/>
    <xf numFmtId="0" fontId="13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wrapText="1"/>
    </xf>
    <xf numFmtId="0" fontId="10" fillId="0" borderId="15" xfId="0" applyFont="1" applyFill="1" applyBorder="1" applyProtection="1"/>
    <xf numFmtId="0" fontId="0" fillId="0" borderId="6" xfId="0" applyFont="1" applyFill="1" applyBorder="1" applyProtection="1">
      <protection locked="0"/>
    </xf>
    <xf numFmtId="0" fontId="0" fillId="0" borderId="8" xfId="0" applyFont="1" applyFill="1" applyBorder="1" applyAlignment="1" applyProtection="1">
      <alignment horizontal="centerContinuous" vertical="center"/>
    </xf>
    <xf numFmtId="0" fontId="0" fillId="0" borderId="11" xfId="0" applyFont="1" applyFill="1" applyBorder="1" applyAlignment="1" applyProtection="1">
      <alignment horizontal="centerContinuous" vertical="center"/>
    </xf>
    <xf numFmtId="0" fontId="0" fillId="0" borderId="11" xfId="0" applyFont="1" applyFill="1" applyBorder="1" applyProtection="1"/>
    <xf numFmtId="2" fontId="0" fillId="0" borderId="11" xfId="0" applyNumberFormat="1" applyFont="1" applyFill="1" applyBorder="1"/>
    <xf numFmtId="0" fontId="0" fillId="0" borderId="12" xfId="0" applyFont="1" applyFill="1" applyBorder="1" applyProtection="1"/>
    <xf numFmtId="0" fontId="0" fillId="0" borderId="13" xfId="0" applyFont="1" applyFill="1" applyBorder="1" applyProtection="1"/>
    <xf numFmtId="0" fontId="0" fillId="0" borderId="0" xfId="0" applyFont="1" applyFill="1"/>
    <xf numFmtId="2" fontId="0" fillId="0" borderId="19" xfId="0" applyNumberFormat="1" applyFont="1" applyFill="1" applyBorder="1"/>
    <xf numFmtId="0" fontId="0" fillId="0" borderId="6" xfId="0" applyFont="1" applyFill="1" applyBorder="1" applyAlignment="1" applyProtection="1">
      <alignment horizontal="center" wrapText="1"/>
    </xf>
    <xf numFmtId="2" fontId="0" fillId="0" borderId="2" xfId="0" applyNumberFormat="1" applyFont="1" applyFill="1" applyBorder="1"/>
    <xf numFmtId="0" fontId="0" fillId="0" borderId="6" xfId="0" applyFont="1" applyFill="1" applyBorder="1" applyAlignment="1" applyProtection="1">
      <alignment horizontal="center"/>
      <protection locked="0"/>
    </xf>
    <xf numFmtId="2" fontId="0" fillId="0" borderId="10" xfId="0" applyNumberFormat="1" applyFont="1" applyFill="1" applyBorder="1"/>
    <xf numFmtId="0" fontId="0" fillId="0" borderId="7" xfId="0" applyFont="1" applyFill="1" applyBorder="1" applyProtection="1"/>
    <xf numFmtId="0" fontId="0" fillId="0" borderId="14" xfId="0" applyFont="1" applyFill="1" applyBorder="1" applyProtection="1"/>
    <xf numFmtId="0" fontId="0" fillId="0" borderId="20" xfId="0" applyFont="1" applyFill="1" applyBorder="1" applyProtection="1"/>
    <xf numFmtId="2" fontId="0" fillId="0" borderId="21" xfId="0" applyNumberFormat="1" applyFont="1" applyFill="1" applyBorder="1"/>
    <xf numFmtId="0" fontId="0" fillId="0" borderId="22" xfId="0" applyFont="1" applyFill="1" applyBorder="1" applyProtection="1"/>
    <xf numFmtId="2" fontId="0" fillId="0" borderId="23" xfId="0" applyNumberFormat="1" applyFont="1" applyFill="1" applyBorder="1"/>
    <xf numFmtId="0" fontId="0" fillId="0" borderId="7" xfId="0" applyFont="1" applyFill="1" applyBorder="1" applyProtection="1">
      <protection locked="0"/>
    </xf>
    <xf numFmtId="0" fontId="0" fillId="0" borderId="15" xfId="0" applyFont="1" applyFill="1" applyBorder="1" applyProtection="1"/>
    <xf numFmtId="0" fontId="0" fillId="0" borderId="16" xfId="0" applyFont="1" applyFill="1" applyBorder="1" applyProtection="1"/>
    <xf numFmtId="2" fontId="0" fillId="0" borderId="7" xfId="0" applyNumberFormat="1" applyFont="1" applyFill="1" applyBorder="1"/>
    <xf numFmtId="2" fontId="0" fillId="0" borderId="6" xfId="0" applyNumberFormat="1" applyFont="1" applyFill="1" applyBorder="1"/>
    <xf numFmtId="0" fontId="0" fillId="0" borderId="17" xfId="0" applyFont="1" applyFill="1" applyBorder="1" applyProtection="1"/>
    <xf numFmtId="2" fontId="0" fillId="0" borderId="18" xfId="0" applyNumberFormat="1" applyFont="1" applyFill="1" applyBorder="1"/>
    <xf numFmtId="0" fontId="17" fillId="0" borderId="7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wrapText="1"/>
    </xf>
    <xf numFmtId="0" fontId="17" fillId="0" borderId="7" xfId="0" applyFont="1" applyFill="1" applyBorder="1" applyProtection="1"/>
    <xf numFmtId="0" fontId="17" fillId="0" borderId="7" xfId="0" applyFont="1" applyFill="1" applyBorder="1" applyAlignment="1" applyProtection="1">
      <alignment vertical="center"/>
    </xf>
    <xf numFmtId="2" fontId="17" fillId="0" borderId="7" xfId="0" applyNumberFormat="1" applyFont="1" applyFill="1" applyBorder="1" applyAlignment="1">
      <alignment vertical="center"/>
    </xf>
    <xf numFmtId="2" fontId="10" fillId="0" borderId="9" xfId="0" applyNumberFormat="1" applyFont="1" applyFill="1" applyBorder="1"/>
    <xf numFmtId="2" fontId="0" fillId="0" borderId="24" xfId="0" applyNumberFormat="1" applyFont="1" applyFill="1" applyBorder="1"/>
    <xf numFmtId="0" fontId="0" fillId="0" borderId="24" xfId="0" applyFont="1" applyFill="1" applyBorder="1" applyProtection="1"/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11" fillId="0" borderId="0" xfId="0" applyFont="1" applyAlignment="1">
      <alignment wrapText="1"/>
    </xf>
    <xf numFmtId="0" fontId="16" fillId="0" borderId="12" xfId="1" applyFont="1" applyFill="1" applyBorder="1" applyAlignment="1" applyProtection="1">
      <alignment horizontal="center" vertical="center" wrapText="1"/>
    </xf>
    <xf numFmtId="2" fontId="10" fillId="0" borderId="28" xfId="0" applyNumberFormat="1" applyFont="1" applyFill="1" applyBorder="1"/>
    <xf numFmtId="2" fontId="10" fillId="0" borderId="9" xfId="0" applyNumberFormat="1" applyFont="1" applyFill="1" applyBorder="1" applyAlignment="1">
      <alignment vertical="center"/>
    </xf>
    <xf numFmtId="0" fontId="18" fillId="0" borderId="3" xfId="0" applyFont="1" applyFill="1" applyBorder="1" applyAlignment="1" applyProtection="1"/>
    <xf numFmtId="0" fontId="19" fillId="0" borderId="15" xfId="0" applyFont="1" applyFill="1" applyBorder="1" applyProtection="1"/>
    <xf numFmtId="0" fontId="20" fillId="0" borderId="15" xfId="0" applyFont="1" applyFill="1" applyBorder="1" applyProtection="1"/>
    <xf numFmtId="0" fontId="19" fillId="0" borderId="0" xfId="0" applyFont="1" applyFill="1"/>
    <xf numFmtId="0" fontId="19" fillId="0" borderId="15" xfId="0" applyFont="1" applyFill="1" applyBorder="1" applyAlignment="1" applyProtection="1">
      <alignment vertical="center" wrapText="1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wrapText="1"/>
    </xf>
    <xf numFmtId="2" fontId="19" fillId="0" borderId="9" xfId="0" applyNumberFormat="1" applyFont="1" applyFill="1" applyBorder="1" applyProtection="1"/>
    <xf numFmtId="0" fontId="10" fillId="0" borderId="6" xfId="0" applyFont="1" applyFill="1" applyBorder="1" applyAlignment="1" applyProtection="1">
      <alignment wrapText="1"/>
    </xf>
    <xf numFmtId="0" fontId="22" fillId="0" borderId="0" xfId="0" applyFont="1" applyFill="1"/>
    <xf numFmtId="2" fontId="0" fillId="0" borderId="3" xfId="0" applyNumberFormat="1" applyFont="1" applyFill="1" applyBorder="1" applyProtection="1"/>
    <xf numFmtId="2" fontId="0" fillId="0" borderId="14" xfId="0" applyNumberFormat="1" applyFont="1" applyFill="1" applyBorder="1" applyProtection="1"/>
    <xf numFmtId="2" fontId="0" fillId="0" borderId="12" xfId="0" applyNumberFormat="1" applyFont="1" applyFill="1" applyBorder="1" applyProtection="1"/>
    <xf numFmtId="2" fontId="0" fillId="0" borderId="36" xfId="0" applyNumberFormat="1" applyFont="1" applyFill="1" applyBorder="1" applyProtection="1"/>
    <xf numFmtId="2" fontId="0" fillId="0" borderId="8" xfId="0" applyNumberFormat="1" applyFont="1" applyFill="1" applyBorder="1" applyProtection="1"/>
    <xf numFmtId="2" fontId="0" fillId="0" borderId="16" xfId="0" applyNumberFormat="1" applyFont="1" applyFill="1" applyBorder="1" applyProtection="1"/>
    <xf numFmtId="0" fontId="18" fillId="0" borderId="10" xfId="0" applyFont="1" applyFill="1" applyBorder="1" applyAlignment="1" applyProtection="1">
      <alignment horizontal="centerContinuous" vertical="center"/>
    </xf>
    <xf numFmtId="0" fontId="18" fillId="0" borderId="3" xfId="0" applyFont="1" applyFill="1" applyBorder="1" applyAlignment="1" applyProtection="1">
      <alignment horizontal="centerContinuous" vertical="center"/>
    </xf>
    <xf numFmtId="0" fontId="18" fillId="0" borderId="25" xfId="0" applyFont="1" applyFill="1" applyBorder="1" applyProtection="1"/>
    <xf numFmtId="2" fontId="10" fillId="0" borderId="35" xfId="0" applyNumberFormat="1" applyFont="1" applyFill="1" applyBorder="1"/>
    <xf numFmtId="0" fontId="12" fillId="3" borderId="37" xfId="0" applyFont="1" applyFill="1" applyBorder="1" applyAlignment="1">
      <alignment vertical="top" wrapText="1"/>
    </xf>
    <xf numFmtId="2" fontId="12" fillId="3" borderId="38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left" vertical="top" wrapText="1" indent="2"/>
    </xf>
    <xf numFmtId="2" fontId="12" fillId="3" borderId="26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left" vertical="top" wrapText="1" indent="4"/>
    </xf>
    <xf numFmtId="2" fontId="11" fillId="3" borderId="26" xfId="0" applyNumberFormat="1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vertical="top" wrapText="1"/>
    </xf>
    <xf numFmtId="0" fontId="12" fillId="3" borderId="39" xfId="0" applyFont="1" applyFill="1" applyBorder="1" applyAlignment="1">
      <alignment horizontal="left" vertical="top" wrapText="1" indent="2"/>
    </xf>
    <xf numFmtId="2" fontId="11" fillId="3" borderId="40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top" wrapText="1"/>
    </xf>
    <xf numFmtId="0" fontId="12" fillId="3" borderId="25" xfId="0" applyFont="1" applyFill="1" applyBorder="1" applyAlignment="1">
      <alignment horizontal="center" vertical="center" wrapText="1"/>
    </xf>
    <xf numFmtId="2" fontId="12" fillId="3" borderId="35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vertical="top" wrapText="1"/>
    </xf>
    <xf numFmtId="0" fontId="13" fillId="3" borderId="41" xfId="0" applyFont="1" applyFill="1" applyBorder="1" applyAlignment="1">
      <alignment horizontal="center" vertical="top" wrapText="1"/>
    </xf>
    <xf numFmtId="0" fontId="12" fillId="3" borderId="42" xfId="0" applyFont="1" applyFill="1" applyBorder="1" applyAlignment="1">
      <alignment horizontal="center" vertical="center" wrapText="1"/>
    </xf>
    <xf numFmtId="2" fontId="12" fillId="3" borderId="43" xfId="0" applyNumberFormat="1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vertical="top" wrapText="1"/>
    </xf>
    <xf numFmtId="0" fontId="12" fillId="3" borderId="45" xfId="0" applyFont="1" applyFill="1" applyBorder="1" applyAlignment="1">
      <alignment horizontal="center" vertical="center" wrapText="1"/>
    </xf>
    <xf numFmtId="2" fontId="12" fillId="3" borderId="46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vertical="top" wrapText="1"/>
    </xf>
    <xf numFmtId="0" fontId="24" fillId="3" borderId="47" xfId="0" applyFont="1" applyFill="1" applyBorder="1" applyAlignment="1">
      <alignment horizontal="center" vertical="center" wrapText="1"/>
    </xf>
    <xf numFmtId="2" fontId="12" fillId="3" borderId="48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top" wrapText="1"/>
    </xf>
    <xf numFmtId="0" fontId="11" fillId="3" borderId="49" xfId="0" applyFont="1" applyFill="1" applyBorder="1" applyAlignment="1">
      <alignment horizontal="left" vertical="top" wrapText="1" indent="4"/>
    </xf>
    <xf numFmtId="0" fontId="11" fillId="3" borderId="37" xfId="0" applyFont="1" applyFill="1" applyBorder="1" applyAlignment="1">
      <alignment horizontal="left" vertical="top" wrapText="1" indent="4"/>
    </xf>
    <xf numFmtId="2" fontId="11" fillId="3" borderId="38" xfId="0" applyNumberFormat="1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top" wrapText="1"/>
    </xf>
    <xf numFmtId="0" fontId="11" fillId="3" borderId="55" xfId="0" applyFont="1" applyFill="1" applyBorder="1" applyAlignment="1">
      <alignment horizontal="left" vertical="top" wrapText="1" indent="4"/>
    </xf>
    <xf numFmtId="0" fontId="11" fillId="3" borderId="56" xfId="0" applyFont="1" applyFill="1" applyBorder="1" applyAlignment="1">
      <alignment horizontal="left" vertical="top" wrapText="1" indent="4"/>
    </xf>
    <xf numFmtId="0" fontId="24" fillId="3" borderId="25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left" vertical="top" wrapText="1" indent="2"/>
    </xf>
    <xf numFmtId="0" fontId="16" fillId="0" borderId="6" xfId="1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Protection="1">
      <protection locked="0"/>
    </xf>
    <xf numFmtId="2" fontId="11" fillId="3" borderId="24" xfId="0" applyNumberFormat="1" applyFont="1" applyFill="1" applyBorder="1" applyAlignment="1">
      <alignment horizontal="center" vertical="center" wrapText="1"/>
    </xf>
    <xf numFmtId="2" fontId="11" fillId="3" borderId="17" xfId="0" applyNumberFormat="1" applyFont="1" applyFill="1" applyBorder="1" applyAlignment="1">
      <alignment horizontal="center" vertical="center" wrapText="1"/>
    </xf>
    <xf numFmtId="2" fontId="11" fillId="3" borderId="6" xfId="0" applyNumberFormat="1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2" fontId="11" fillId="3" borderId="10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2" fontId="11" fillId="3" borderId="7" xfId="0" applyNumberFormat="1" applyFont="1" applyFill="1" applyBorder="1" applyAlignment="1">
      <alignment horizontal="center" vertical="center" wrapText="1"/>
    </xf>
    <xf numFmtId="2" fontId="12" fillId="3" borderId="14" xfId="0" applyNumberFormat="1" applyFont="1" applyFill="1" applyBorder="1" applyAlignment="1">
      <alignment horizontal="center" vertical="center" wrapText="1"/>
    </xf>
    <xf numFmtId="2" fontId="10" fillId="0" borderId="35" xfId="0" applyNumberFormat="1" applyFont="1" applyFill="1" applyBorder="1" applyAlignment="1">
      <alignment vertical="center"/>
    </xf>
    <xf numFmtId="2" fontId="10" fillId="0" borderId="11" xfId="0" applyNumberFormat="1" applyFont="1" applyFill="1" applyBorder="1"/>
    <xf numFmtId="2" fontId="10" fillId="0" borderId="57" xfId="0" applyNumberFormat="1" applyFont="1" applyFill="1" applyBorder="1"/>
    <xf numFmtId="2" fontId="15" fillId="0" borderId="2" xfId="1" applyNumberFormat="1" applyFont="1" applyFill="1" applyBorder="1" applyAlignment="1">
      <alignment vertical="center"/>
    </xf>
    <xf numFmtId="2" fontId="15" fillId="0" borderId="9" xfId="1" applyNumberFormat="1" applyFont="1" applyFill="1" applyBorder="1"/>
    <xf numFmtId="2" fontId="10" fillId="0" borderId="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0" fontId="19" fillId="0" borderId="15" xfId="0" applyFont="1" applyFill="1" applyBorder="1" applyAlignment="1" applyProtection="1">
      <alignment horizontal="center"/>
    </xf>
    <xf numFmtId="0" fontId="16" fillId="0" borderId="10" xfId="1" applyFont="1" applyFill="1" applyBorder="1" applyProtection="1"/>
    <xf numFmtId="0" fontId="16" fillId="0" borderId="17" xfId="1" applyFont="1" applyFill="1" applyBorder="1" applyProtection="1"/>
    <xf numFmtId="2" fontId="12" fillId="3" borderId="50" xfId="0" applyNumberFormat="1" applyFont="1" applyFill="1" applyBorder="1" applyAlignment="1">
      <alignment horizontal="center" vertical="center" wrapText="1"/>
    </xf>
    <xf numFmtId="2" fontId="12" fillId="3" borderId="6" xfId="0" applyNumberFormat="1" applyFont="1" applyFill="1" applyBorder="1" applyAlignment="1">
      <alignment horizontal="center" vertical="center" wrapText="1"/>
    </xf>
    <xf numFmtId="2" fontId="12" fillId="3" borderId="10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  <xf numFmtId="2" fontId="12" fillId="3" borderId="27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vertical="top"/>
    </xf>
    <xf numFmtId="0" fontId="0" fillId="0" borderId="6" xfId="0" applyFont="1" applyFill="1" applyBorder="1" applyAlignment="1" applyProtection="1">
      <alignment vertical="top" wrapText="1"/>
    </xf>
    <xf numFmtId="2" fontId="0" fillId="0" borderId="35" xfId="0" applyNumberFormat="1" applyFont="1" applyFill="1" applyBorder="1"/>
    <xf numFmtId="2" fontId="11" fillId="3" borderId="21" xfId="0" applyNumberFormat="1" applyFont="1" applyFill="1" applyBorder="1" applyAlignment="1">
      <alignment horizontal="center" vertical="center" wrapText="1"/>
    </xf>
    <xf numFmtId="2" fontId="11" fillId="3" borderId="2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left" indent="4"/>
    </xf>
    <xf numFmtId="0" fontId="21" fillId="0" borderId="6" xfId="0" applyFont="1" applyFill="1" applyBorder="1" applyAlignment="1" applyProtection="1">
      <alignment horizontal="left" indent="4"/>
    </xf>
    <xf numFmtId="0" fontId="21" fillId="0" borderId="10" xfId="0" applyFont="1" applyFill="1" applyBorder="1" applyAlignment="1" applyProtection="1">
      <alignment horizontal="left" indent="4"/>
    </xf>
    <xf numFmtId="0" fontId="21" fillId="0" borderId="7" xfId="0" applyFont="1" applyFill="1" applyBorder="1" applyAlignment="1" applyProtection="1">
      <alignment horizontal="left" indent="4"/>
    </xf>
    <xf numFmtId="0" fontId="0" fillId="0" borderId="10" xfId="0" applyFont="1" applyFill="1" applyBorder="1" applyAlignment="1" applyProtection="1">
      <alignment horizontal="left" indent="4"/>
    </xf>
    <xf numFmtId="0" fontId="0" fillId="0" borderId="6" xfId="0" applyFont="1" applyFill="1" applyBorder="1" applyAlignment="1" applyProtection="1">
      <alignment horizontal="left" indent="2"/>
    </xf>
    <xf numFmtId="0" fontId="18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2" fontId="0" fillId="0" borderId="0" xfId="0" applyNumberFormat="1" applyFont="1" applyFill="1" applyProtection="1"/>
    <xf numFmtId="0" fontId="0" fillId="0" borderId="2" xfId="0" applyFont="1" applyFill="1" applyBorder="1" applyProtection="1"/>
    <xf numFmtId="0" fontId="25" fillId="0" borderId="7" xfId="0" applyFont="1" applyFill="1" applyBorder="1" applyAlignment="1" applyProtection="1">
      <alignment horizontal="center" vertical="center" wrapText="1"/>
    </xf>
    <xf numFmtId="2" fontId="25" fillId="0" borderId="7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0" fontId="0" fillId="0" borderId="10" xfId="0" applyFont="1" applyFill="1" applyBorder="1" applyAlignment="1" applyProtection="1">
      <alignment vertical="top"/>
    </xf>
    <xf numFmtId="0" fontId="0" fillId="0" borderId="10" xfId="0" applyFont="1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vertical="top"/>
      <protection locked="0"/>
    </xf>
    <xf numFmtId="0" fontId="0" fillId="0" borderId="7" xfId="0" applyFont="1" applyFill="1" applyBorder="1" applyAlignment="1" applyProtection="1">
      <alignment vertical="top"/>
      <protection locked="0"/>
    </xf>
    <xf numFmtId="0" fontId="0" fillId="0" borderId="7" xfId="0" applyFont="1" applyFill="1" applyBorder="1" applyAlignment="1" applyProtection="1">
      <alignment horizontal="center"/>
      <protection locked="0"/>
    </xf>
    <xf numFmtId="0" fontId="0" fillId="0" borderId="15" xfId="0" applyFont="1" applyFill="1" applyBorder="1" applyAlignment="1" applyProtection="1">
      <alignment horizontal="left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59" xfId="0" applyFont="1" applyFill="1" applyBorder="1" applyAlignment="1" applyProtection="1"/>
    <xf numFmtId="0" fontId="0" fillId="0" borderId="10" xfId="0" applyFont="1" applyFill="1" applyBorder="1" applyProtection="1">
      <protection locked="0"/>
    </xf>
    <xf numFmtId="0" fontId="0" fillId="0" borderId="11" xfId="0" applyFont="1" applyFill="1" applyBorder="1" applyAlignment="1" applyProtection="1"/>
    <xf numFmtId="0" fontId="0" fillId="0" borderId="20" xfId="0" applyFont="1" applyFill="1" applyBorder="1" applyAlignment="1" applyProtection="1">
      <alignment vertical="top"/>
    </xf>
    <xf numFmtId="0" fontId="0" fillId="0" borderId="24" xfId="0" applyFont="1" applyFill="1" applyBorder="1" applyAlignment="1" applyProtection="1">
      <alignment vertical="center"/>
    </xf>
    <xf numFmtId="0" fontId="0" fillId="0" borderId="47" xfId="0" applyFont="1" applyFill="1" applyBorder="1" applyAlignment="1" applyProtection="1">
      <alignment vertical="top"/>
    </xf>
    <xf numFmtId="0" fontId="0" fillId="0" borderId="17" xfId="0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horizontal="center" wrapText="1"/>
    </xf>
    <xf numFmtId="0" fontId="0" fillId="0" borderId="6" xfId="0" applyFont="1" applyFill="1" applyBorder="1" applyAlignment="1" applyProtection="1">
      <alignment horizontal="center"/>
    </xf>
    <xf numFmtId="2" fontId="0" fillId="0" borderId="9" xfId="0" applyNumberFormat="1" applyFont="1" applyFill="1" applyBorder="1"/>
    <xf numFmtId="0" fontId="0" fillId="0" borderId="3" xfId="0" applyFont="1" applyFill="1" applyBorder="1" applyAlignment="1" applyProtection="1">
      <alignment vertical="center"/>
    </xf>
    <xf numFmtId="0" fontId="9" fillId="0" borderId="6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16" xfId="0" applyFont="1" applyFill="1" applyBorder="1" applyAlignment="1" applyProtection="1">
      <alignment horizontal="right"/>
    </xf>
    <xf numFmtId="2" fontId="0" fillId="0" borderId="24" xfId="0" applyNumberFormat="1" applyFont="1" applyFill="1" applyBorder="1" applyProtection="1"/>
    <xf numFmtId="2" fontId="0" fillId="0" borderId="6" xfId="0" applyNumberFormat="1" applyFont="1" applyFill="1" applyBorder="1" applyProtection="1"/>
    <xf numFmtId="2" fontId="0" fillId="0" borderId="2" xfId="0" applyNumberFormat="1" applyFont="1" applyFill="1" applyBorder="1" applyProtection="1"/>
    <xf numFmtId="0" fontId="0" fillId="0" borderId="17" xfId="0" applyFont="1" applyFill="1" applyBorder="1" applyProtection="1">
      <protection locked="0"/>
    </xf>
    <xf numFmtId="2" fontId="0" fillId="0" borderId="17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center" vertical="center"/>
    </xf>
    <xf numFmtId="2" fontId="0" fillId="0" borderId="0" xfId="0" applyNumberFormat="1" applyFont="1" applyFill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7" xfId="0" applyFont="1" applyFill="1" applyBorder="1" applyProtection="1"/>
    <xf numFmtId="2" fontId="25" fillId="0" borderId="7" xfId="0" applyNumberFormat="1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/>
    <xf numFmtId="0" fontId="0" fillId="0" borderId="31" xfId="0" applyFont="1" applyFill="1" applyBorder="1" applyProtection="1"/>
    <xf numFmtId="0" fontId="0" fillId="0" borderId="29" xfId="0" applyFont="1" applyFill="1" applyBorder="1" applyProtection="1"/>
    <xf numFmtId="0" fontId="0" fillId="0" borderId="6" xfId="0" applyFont="1" applyFill="1" applyBorder="1"/>
    <xf numFmtId="0" fontId="0" fillId="0" borderId="6" xfId="0" applyFont="1" applyFill="1" applyBorder="1" applyAlignment="1" applyProtection="1">
      <alignment horizontal="left" wrapText="1" indent="4"/>
    </xf>
    <xf numFmtId="0" fontId="0" fillId="0" borderId="30" xfId="0" applyFont="1" applyFill="1" applyBorder="1" applyProtection="1"/>
    <xf numFmtId="0" fontId="0" fillId="0" borderId="27" xfId="0" applyFont="1" applyFill="1" applyBorder="1" applyProtection="1"/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31" xfId="0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0" fillId="0" borderId="29" xfId="0" applyFont="1" applyFill="1" applyBorder="1" applyProtection="1">
      <protection locked="0"/>
    </xf>
    <xf numFmtId="0" fontId="0" fillId="0" borderId="30" xfId="0" applyFont="1" applyFill="1" applyBorder="1" applyProtection="1">
      <protection locked="0"/>
    </xf>
    <xf numFmtId="0" fontId="0" fillId="0" borderId="30" xfId="0" applyFont="1" applyFill="1" applyBorder="1" applyAlignment="1" applyProtection="1">
      <alignment horizontal="center"/>
    </xf>
    <xf numFmtId="0" fontId="9" fillId="0" borderId="6" xfId="1" applyFont="1" applyFill="1" applyBorder="1" applyAlignment="1">
      <alignment horizontal="center" wrapText="1"/>
    </xf>
    <xf numFmtId="0" fontId="0" fillId="0" borderId="32" xfId="0" applyFont="1" applyFill="1" applyBorder="1" applyProtection="1"/>
    <xf numFmtId="0" fontId="0" fillId="0" borderId="33" xfId="0" applyFont="1" applyFill="1" applyBorder="1" applyProtection="1"/>
    <xf numFmtId="0" fontId="0" fillId="0" borderId="6" xfId="0" applyFont="1" applyFill="1" applyBorder="1" applyAlignment="1" applyProtection="1">
      <alignment wrapText="1"/>
    </xf>
    <xf numFmtId="0" fontId="0" fillId="0" borderId="6" xfId="0" applyFont="1" applyFill="1" applyBorder="1" applyAlignment="1" applyProtection="1">
      <alignment horizontal="center" vertical="center" wrapText="1"/>
    </xf>
    <xf numFmtId="2" fontId="0" fillId="0" borderId="31" xfId="0" applyNumberFormat="1" applyFont="1" applyFill="1" applyBorder="1"/>
    <xf numFmtId="0" fontId="0" fillId="0" borderId="25" xfId="0" applyFont="1" applyFill="1" applyBorder="1" applyProtection="1"/>
    <xf numFmtId="0" fontId="0" fillId="0" borderId="0" xfId="0" applyFont="1" applyFill="1" applyAlignment="1">
      <alignment wrapText="1"/>
    </xf>
    <xf numFmtId="0" fontId="0" fillId="0" borderId="65" xfId="0" applyFont="1" applyFill="1" applyBorder="1" applyAlignment="1" applyProtection="1">
      <alignment horizontal="center" vertical="center"/>
      <protection locked="0"/>
    </xf>
    <xf numFmtId="0" fontId="0" fillId="0" borderId="67" xfId="0" applyFont="1" applyFill="1" applyBorder="1" applyAlignment="1" applyProtection="1">
      <alignment horizontal="center"/>
      <protection locked="0"/>
    </xf>
    <xf numFmtId="2" fontId="0" fillId="0" borderId="66" xfId="0" applyNumberFormat="1" applyFont="1" applyFill="1" applyBorder="1" applyAlignment="1">
      <alignment horizontal="center"/>
    </xf>
    <xf numFmtId="0" fontId="0" fillId="0" borderId="16" xfId="0" applyFont="1" applyFill="1" applyBorder="1" applyAlignment="1" applyProtection="1">
      <alignment horizontal="center"/>
    </xf>
    <xf numFmtId="0" fontId="20" fillId="0" borderId="0" xfId="0" applyFont="1" applyFill="1" applyAlignment="1" applyProtection="1">
      <alignment horizontal="left"/>
    </xf>
    <xf numFmtId="0" fontId="20" fillId="0" borderId="0" xfId="0" applyFont="1" applyFill="1"/>
    <xf numFmtId="0" fontId="20" fillId="0" borderId="0" xfId="0" applyFont="1" applyFill="1" applyProtection="1"/>
    <xf numFmtId="0" fontId="0" fillId="0" borderId="10" xfId="0" applyFont="1" applyFill="1" applyBorder="1" applyAlignment="1" applyProtection="1">
      <alignment horizontal="left" wrapText="1" indent="4"/>
    </xf>
    <xf numFmtId="0" fontId="11" fillId="0" borderId="0" xfId="0" applyFont="1" applyAlignment="1">
      <alignment horizontal="left" vertical="center" wrapText="1"/>
    </xf>
    <xf numFmtId="0" fontId="29" fillId="3" borderId="39" xfId="0" applyFont="1" applyFill="1" applyBorder="1" applyAlignment="1">
      <alignment horizontal="left" vertical="top" wrapText="1" indent="4"/>
    </xf>
    <xf numFmtId="0" fontId="30" fillId="3" borderId="37" xfId="0" applyFont="1" applyFill="1" applyBorder="1" applyAlignment="1">
      <alignment vertical="top" wrapText="1"/>
    </xf>
    <xf numFmtId="0" fontId="30" fillId="3" borderId="39" xfId="0" applyFont="1" applyFill="1" applyBorder="1" applyAlignment="1">
      <alignment vertical="top" wrapText="1"/>
    </xf>
    <xf numFmtId="0" fontId="30" fillId="3" borderId="39" xfId="0" applyFont="1" applyFill="1" applyBorder="1" applyAlignment="1">
      <alignment horizontal="left" vertical="top" wrapText="1" indent="2"/>
    </xf>
    <xf numFmtId="0" fontId="29" fillId="3" borderId="39" xfId="0" applyFont="1" applyFill="1" applyBorder="1" applyAlignment="1">
      <alignment horizontal="left" vertical="top" wrapText="1" indent="2"/>
    </xf>
    <xf numFmtId="0" fontId="29" fillId="3" borderId="49" xfId="0" applyFont="1" applyFill="1" applyBorder="1" applyAlignment="1">
      <alignment horizontal="left" vertical="top" wrapText="1" indent="4"/>
    </xf>
    <xf numFmtId="0" fontId="30" fillId="3" borderId="3" xfId="0" applyFont="1" applyFill="1" applyBorder="1" applyAlignment="1">
      <alignment vertical="top" wrapText="1"/>
    </xf>
    <xf numFmtId="0" fontId="29" fillId="0" borderId="6" xfId="0" applyFont="1" applyFill="1" applyBorder="1" applyAlignment="1" applyProtection="1">
      <alignment horizontal="left" indent="2"/>
    </xf>
    <xf numFmtId="0" fontId="29" fillId="0" borderId="6" xfId="0" applyFont="1" applyFill="1" applyBorder="1" applyAlignment="1" applyProtection="1">
      <alignment horizontal="left" indent="3"/>
    </xf>
    <xf numFmtId="0" fontId="29" fillId="0" borderId="7" xfId="0" applyFont="1" applyFill="1" applyBorder="1" applyAlignment="1" applyProtection="1">
      <alignment horizontal="left" indent="3"/>
    </xf>
    <xf numFmtId="0" fontId="29" fillId="0" borderId="0" xfId="0" applyFont="1" applyAlignment="1">
      <alignment horizontal="left" indent="2"/>
    </xf>
    <xf numFmtId="0" fontId="16" fillId="0" borderId="6" xfId="0" applyFont="1" applyFill="1" applyBorder="1" applyProtection="1"/>
    <xf numFmtId="0" fontId="16" fillId="0" borderId="6" xfId="0" applyFont="1" applyFill="1" applyBorder="1" applyProtection="1">
      <protection locked="0"/>
    </xf>
    <xf numFmtId="0" fontId="16" fillId="0" borderId="6" xfId="1" applyFont="1" applyFill="1" applyBorder="1" applyAlignment="1" applyProtection="1">
      <alignment wrapText="1"/>
    </xf>
    <xf numFmtId="0" fontId="16" fillId="0" borderId="6" xfId="0" applyFont="1" applyFill="1" applyBorder="1" applyAlignment="1" applyProtection="1">
      <alignment horizontal="left" indent="4"/>
    </xf>
    <xf numFmtId="0" fontId="16" fillId="0" borderId="6" xfId="0" applyFont="1" applyFill="1" applyBorder="1" applyAlignment="1" applyProtection="1">
      <alignment horizontal="left" wrapText="1" indent="4"/>
    </xf>
    <xf numFmtId="0" fontId="33" fillId="0" borderId="15" xfId="0" applyFont="1" applyFill="1" applyBorder="1" applyAlignment="1" applyProtection="1">
      <alignment wrapText="1"/>
    </xf>
    <xf numFmtId="0" fontId="15" fillId="0" borderId="6" xfId="0" applyFont="1" applyFill="1" applyBorder="1" applyProtection="1"/>
    <xf numFmtId="0" fontId="16" fillId="0" borderId="7" xfId="0" applyFont="1" applyFill="1" applyBorder="1" applyAlignment="1" applyProtection="1">
      <alignment horizontal="left" indent="4"/>
    </xf>
    <xf numFmtId="0" fontId="15" fillId="0" borderId="6" xfId="0" applyFont="1" applyFill="1" applyBorder="1" applyAlignment="1" applyProtection="1">
      <alignment horizontal="left" indent="4"/>
    </xf>
    <xf numFmtId="0" fontId="15" fillId="0" borderId="6" xfId="0" applyFont="1" applyBorder="1" applyProtection="1"/>
    <xf numFmtId="0" fontId="15" fillId="0" borderId="6" xfId="0" applyFont="1" applyFill="1" applyBorder="1" applyAlignment="1" applyProtection="1">
      <alignment wrapText="1"/>
    </xf>
    <xf numFmtId="0" fontId="0" fillId="0" borderId="10" xfId="0" applyFont="1" applyFill="1" applyBorder="1" applyAlignment="1" applyProtection="1">
      <alignment vertical="top"/>
      <protection locked="0"/>
    </xf>
    <xf numFmtId="0" fontId="14" fillId="0" borderId="29" xfId="0" applyFont="1" applyFill="1" applyBorder="1" applyProtection="1"/>
    <xf numFmtId="0" fontId="14" fillId="0" borderId="7" xfId="0" applyFont="1" applyFill="1" applyBorder="1" applyProtection="1"/>
    <xf numFmtId="0" fontId="14" fillId="0" borderId="0" xfId="0" applyFont="1" applyFill="1"/>
    <xf numFmtId="2" fontId="11" fillId="3" borderId="68" xfId="0" applyNumberFormat="1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left" vertical="top" wrapText="1" indent="4"/>
    </xf>
    <xf numFmtId="0" fontId="29" fillId="3" borderId="17" xfId="0" applyFont="1" applyFill="1" applyBorder="1" applyAlignment="1">
      <alignment horizontal="left" vertical="top" wrapText="1" indent="4"/>
    </xf>
    <xf numFmtId="0" fontId="11" fillId="0" borderId="0" xfId="0" applyFont="1" applyAlignment="1" applyProtection="1">
      <alignment vertical="center" wrapText="1"/>
      <protection locked="0"/>
    </xf>
    <xf numFmtId="0" fontId="19" fillId="0" borderId="0" xfId="0" applyFont="1" applyFill="1" applyAlignment="1" applyProtection="1">
      <alignment horizontal="center"/>
    </xf>
    <xf numFmtId="0" fontId="11" fillId="0" borderId="6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2" fontId="37" fillId="4" borderId="77" xfId="0" applyNumberFormat="1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 applyProtection="1">
      <alignment horizontal="left" vertical="center" wrapText="1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wrapText="1"/>
    </xf>
    <xf numFmtId="2" fontId="22" fillId="0" borderId="35" xfId="0" applyNumberFormat="1" applyFont="1" applyFill="1" applyBorder="1" applyAlignment="1">
      <alignment wrapText="1"/>
    </xf>
    <xf numFmtId="0" fontId="22" fillId="0" borderId="6" xfId="0" applyFont="1" applyFill="1" applyBorder="1" applyAlignment="1" applyProtection="1">
      <alignment horizontal="left" vertical="center"/>
    </xf>
    <xf numFmtId="0" fontId="36" fillId="0" borderId="6" xfId="0" applyFont="1" applyFill="1" applyBorder="1" applyProtection="1"/>
    <xf numFmtId="0" fontId="36" fillId="0" borderId="32" xfId="0" applyFont="1" applyFill="1" applyBorder="1" applyProtection="1"/>
    <xf numFmtId="0" fontId="36" fillId="0" borderId="3" xfId="0" applyFont="1" applyFill="1" applyBorder="1" applyProtection="1"/>
    <xf numFmtId="2" fontId="36" fillId="0" borderId="9" xfId="0" applyNumberFormat="1" applyFont="1" applyFill="1" applyBorder="1"/>
    <xf numFmtId="0" fontId="36" fillId="0" borderId="6" xfId="0" applyFont="1" applyFill="1" applyBorder="1" applyAlignment="1" applyProtection="1">
      <alignment horizontal="left" indent="2"/>
    </xf>
    <xf numFmtId="0" fontId="36" fillId="0" borderId="29" xfId="0" applyFont="1" applyFill="1" applyBorder="1" applyProtection="1"/>
    <xf numFmtId="2" fontId="36" fillId="0" borderId="2" xfId="0" applyNumberFormat="1" applyFont="1" applyFill="1" applyBorder="1"/>
    <xf numFmtId="0" fontId="36" fillId="0" borderId="14" xfId="0" applyFont="1" applyFill="1" applyBorder="1" applyProtection="1"/>
    <xf numFmtId="0" fontId="36" fillId="0" borderId="6" xfId="0" applyFont="1" applyFill="1" applyBorder="1" applyAlignment="1" applyProtection="1">
      <alignment horizontal="left" wrapText="1" indent="4"/>
    </xf>
    <xf numFmtId="0" fontId="29" fillId="3" borderId="37" xfId="0" applyFont="1" applyFill="1" applyBorder="1" applyAlignment="1">
      <alignment horizontal="left" vertical="top" wrapText="1" indent="4"/>
    </xf>
    <xf numFmtId="0" fontId="31" fillId="3" borderId="3" xfId="0" applyFont="1" applyFill="1" applyBorder="1" applyAlignment="1">
      <alignment vertical="top" wrapText="1"/>
    </xf>
    <xf numFmtId="0" fontId="29" fillId="3" borderId="22" xfId="0" applyFont="1" applyFill="1" applyBorder="1" applyAlignment="1">
      <alignment horizontal="left" vertical="top" wrapText="1" indent="4"/>
    </xf>
    <xf numFmtId="0" fontId="30" fillId="3" borderId="76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2" fontId="30" fillId="4" borderId="78" xfId="0" applyNumberFormat="1" applyFont="1" applyFill="1" applyBorder="1" applyAlignment="1">
      <alignment horizontal="center" vertical="center" wrapText="1"/>
    </xf>
    <xf numFmtId="2" fontId="30" fillId="5" borderId="1" xfId="0" applyNumberFormat="1" applyFont="1" applyFill="1" applyBorder="1" applyAlignment="1">
      <alignment horizontal="center" vertical="center" wrapText="1"/>
    </xf>
    <xf numFmtId="2" fontId="30" fillId="3" borderId="35" xfId="0" applyNumberFormat="1" applyFont="1" applyFill="1" applyBorder="1" applyAlignment="1">
      <alignment horizontal="center" vertical="center" wrapText="1"/>
    </xf>
    <xf numFmtId="2" fontId="29" fillId="3" borderId="21" xfId="0" applyNumberFormat="1" applyFont="1" applyFill="1" applyBorder="1" applyAlignment="1">
      <alignment horizontal="center" vertical="center" wrapText="1"/>
    </xf>
    <xf numFmtId="2" fontId="29" fillId="3" borderId="26" xfId="0" applyNumberFormat="1" applyFont="1" applyFill="1" applyBorder="1" applyAlignment="1">
      <alignment horizontal="center" vertical="center" wrapText="1"/>
    </xf>
    <xf numFmtId="2" fontId="29" fillId="3" borderId="54" xfId="0" applyNumberFormat="1" applyFont="1" applyFill="1" applyBorder="1" applyAlignment="1">
      <alignment horizontal="center" vertical="center" wrapText="1"/>
    </xf>
    <xf numFmtId="2" fontId="29" fillId="3" borderId="38" xfId="0" applyNumberFormat="1" applyFont="1" applyFill="1" applyBorder="1" applyAlignment="1">
      <alignment horizontal="center" vertical="center" wrapText="1"/>
    </xf>
    <xf numFmtId="15" fontId="0" fillId="0" borderId="0" xfId="0" applyNumberFormat="1"/>
    <xf numFmtId="0" fontId="16" fillId="0" borderId="6" xfId="0" applyFont="1" applyFill="1" applyBorder="1" applyAlignment="1" applyProtection="1">
      <alignment horizontal="left" indent="2"/>
    </xf>
    <xf numFmtId="0" fontId="16" fillId="0" borderId="29" xfId="0" applyFont="1" applyFill="1" applyBorder="1" applyProtection="1"/>
    <xf numFmtId="0" fontId="16" fillId="0" borderId="12" xfId="0" applyFont="1" applyFill="1" applyBorder="1" applyProtection="1"/>
    <xf numFmtId="2" fontId="16" fillId="0" borderId="2" xfId="0" applyNumberFormat="1" applyFont="1" applyFill="1" applyBorder="1"/>
    <xf numFmtId="2" fontId="16" fillId="0" borderId="10" xfId="0" applyNumberFormat="1" applyFont="1" applyFill="1" applyBorder="1"/>
    <xf numFmtId="0" fontId="16" fillId="0" borderId="30" xfId="0" applyFont="1" applyFill="1" applyBorder="1" applyProtection="1"/>
    <xf numFmtId="0" fontId="16" fillId="0" borderId="7" xfId="0" applyFont="1" applyFill="1" applyBorder="1" applyProtection="1"/>
    <xf numFmtId="2" fontId="16" fillId="0" borderId="6" xfId="0" applyNumberFormat="1" applyFont="1" applyFill="1" applyBorder="1"/>
    <xf numFmtId="0" fontId="16" fillId="0" borderId="17" xfId="0" applyFont="1" applyFill="1" applyBorder="1" applyProtection="1">
      <protection locked="0"/>
    </xf>
    <xf numFmtId="0" fontId="16" fillId="0" borderId="34" xfId="0" applyFont="1" applyFill="1" applyBorder="1" applyProtection="1"/>
    <xf numFmtId="0" fontId="16" fillId="0" borderId="17" xfId="0" applyFont="1" applyFill="1" applyBorder="1" applyProtection="1"/>
    <xf numFmtId="2" fontId="16" fillId="0" borderId="18" xfId="0" applyNumberFormat="1" applyFont="1" applyFill="1" applyBorder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7" fillId="4" borderId="0" xfId="0" applyFont="1" applyFill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0" fontId="11" fillId="0" borderId="71" xfId="0" applyFont="1" applyBorder="1" applyAlignment="1" applyProtection="1">
      <alignment horizontal="center" wrapText="1"/>
    </xf>
    <xf numFmtId="0" fontId="11" fillId="0" borderId="0" xfId="0" applyFont="1" applyAlignment="1" applyProtection="1">
      <alignment horizontal="center" wrapText="1"/>
    </xf>
    <xf numFmtId="0" fontId="13" fillId="0" borderId="73" xfId="0" applyFont="1" applyBorder="1" applyAlignment="1" applyProtection="1">
      <alignment horizontal="center" wrapText="1"/>
    </xf>
    <xf numFmtId="0" fontId="12" fillId="0" borderId="74" xfId="0" applyFont="1" applyBorder="1" applyAlignment="1" applyProtection="1">
      <alignment horizontal="center"/>
    </xf>
    <xf numFmtId="0" fontId="12" fillId="0" borderId="70" xfId="0" applyFont="1" applyBorder="1" applyAlignment="1" applyProtection="1">
      <alignment horizontal="center" vertical="center"/>
    </xf>
    <xf numFmtId="0" fontId="12" fillId="0" borderId="71" xfId="0" applyFont="1" applyBorder="1" applyAlignment="1" applyProtection="1">
      <alignment horizontal="center" vertical="center"/>
    </xf>
    <xf numFmtId="0" fontId="12" fillId="0" borderId="72" xfId="0" applyFont="1" applyBorder="1" applyAlignment="1" applyProtection="1">
      <alignment horizontal="center" vertical="center"/>
    </xf>
    <xf numFmtId="0" fontId="11" fillId="0" borderId="70" xfId="0" applyFont="1" applyBorder="1" applyAlignment="1" applyProtection="1">
      <alignment horizontal="center" vertical="center"/>
      <protection locked="0"/>
    </xf>
    <xf numFmtId="0" fontId="11" fillId="0" borderId="71" xfId="0" applyFont="1" applyBorder="1" applyAlignment="1" applyProtection="1">
      <alignment horizontal="center" vertical="center"/>
      <protection locked="0"/>
    </xf>
    <xf numFmtId="0" fontId="11" fillId="0" borderId="72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 applyProtection="1">
      <alignment horizontal="center" wrapText="1"/>
      <protection locked="0"/>
    </xf>
    <xf numFmtId="0" fontId="12" fillId="0" borderId="71" xfId="0" applyFont="1" applyBorder="1" applyAlignment="1" applyProtection="1">
      <alignment horizontal="center" wrapText="1"/>
      <protection locked="0"/>
    </xf>
    <xf numFmtId="0" fontId="12" fillId="0" borderId="72" xfId="0" applyFont="1" applyBorder="1" applyAlignment="1" applyProtection="1">
      <alignment horizontal="center" wrapText="1"/>
      <protection locked="0"/>
    </xf>
    <xf numFmtId="0" fontId="11" fillId="0" borderId="70" xfId="0" applyFont="1" applyBorder="1" applyAlignment="1" applyProtection="1">
      <alignment horizontal="center" wrapText="1"/>
      <protection locked="0"/>
    </xf>
    <xf numFmtId="0" fontId="11" fillId="0" borderId="71" xfId="0" applyFont="1" applyBorder="1" applyAlignment="1" applyProtection="1">
      <alignment horizontal="center" wrapText="1"/>
      <protection locked="0"/>
    </xf>
    <xf numFmtId="0" fontId="11" fillId="0" borderId="72" xfId="0" applyFont="1" applyBorder="1" applyAlignment="1" applyProtection="1">
      <alignment horizontal="center" wrapText="1"/>
      <protection locked="0"/>
    </xf>
    <xf numFmtId="0" fontId="19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0" borderId="3" xfId="0" applyFont="1" applyFill="1" applyBorder="1" applyAlignment="1" applyProtection="1">
      <alignment wrapText="1"/>
    </xf>
    <xf numFmtId="0" fontId="10" fillId="0" borderId="8" xfId="0" applyFont="1" applyFill="1" applyBorder="1" applyAlignment="1" applyProtection="1">
      <alignment wrapText="1"/>
    </xf>
    <xf numFmtId="0" fontId="10" fillId="0" borderId="57" xfId="0" applyFont="1" applyFill="1" applyBorder="1" applyAlignment="1" applyProtection="1">
      <alignment wrapText="1"/>
    </xf>
    <xf numFmtId="0" fontId="17" fillId="0" borderId="62" xfId="0" applyFont="1" applyFill="1" applyBorder="1" applyAlignment="1" applyProtection="1">
      <alignment horizontal="center" wrapText="1"/>
    </xf>
    <xf numFmtId="0" fontId="17" fillId="0" borderId="34" xfId="0" applyFont="1" applyFill="1" applyBorder="1" applyAlignment="1" applyProtection="1">
      <alignment horizontal="center" wrapText="1"/>
    </xf>
    <xf numFmtId="0" fontId="0" fillId="0" borderId="24" xfId="0" applyFont="1" applyFill="1" applyBorder="1" applyAlignment="1" applyProtection="1">
      <alignment horizontal="center" vertical="center" textRotation="90"/>
    </xf>
    <xf numFmtId="0" fontId="0" fillId="0" borderId="6" xfId="0" applyFont="1" applyFill="1" applyBorder="1" applyAlignment="1" applyProtection="1">
      <alignment horizontal="center" vertical="center" textRotation="90"/>
    </xf>
    <xf numFmtId="0" fontId="0" fillId="0" borderId="17" xfId="0" applyFont="1" applyFill="1" applyBorder="1" applyAlignment="1" applyProtection="1">
      <alignment horizontal="center" vertical="center" textRotation="90"/>
    </xf>
    <xf numFmtId="0" fontId="10" fillId="0" borderId="60" xfId="0" applyFont="1" applyFill="1" applyBorder="1" applyAlignment="1" applyProtection="1">
      <alignment horizontal="center" vertical="center" textRotation="90" wrapText="1"/>
    </xf>
    <xf numFmtId="0" fontId="10" fillId="0" borderId="58" xfId="0" applyFont="1" applyFill="1" applyBorder="1" applyAlignment="1" applyProtection="1">
      <alignment horizontal="center" vertical="center" textRotation="90" wrapText="1"/>
    </xf>
    <xf numFmtId="0" fontId="10" fillId="0" borderId="61" xfId="0" applyFont="1" applyFill="1" applyBorder="1" applyAlignment="1" applyProtection="1">
      <alignment horizontal="center" vertical="center" textRotation="90" wrapText="1"/>
    </xf>
    <xf numFmtId="0" fontId="10" fillId="0" borderId="27" xfId="0" applyFont="1" applyFill="1" applyBorder="1" applyAlignment="1" applyProtection="1">
      <alignment horizontal="center" vertical="center" textRotation="90" wrapText="1"/>
    </xf>
    <xf numFmtId="0" fontId="0" fillId="0" borderId="10" xfId="0" applyFont="1" applyFill="1" applyBorder="1" applyAlignment="1" applyProtection="1">
      <alignment horizontal="center" vertical="top"/>
    </xf>
    <xf numFmtId="0" fontId="0" fillId="0" borderId="6" xfId="0" applyFont="1" applyFill="1" applyBorder="1" applyAlignment="1" applyProtection="1">
      <alignment horizontal="center" vertical="top"/>
    </xf>
    <xf numFmtId="0" fontId="0" fillId="0" borderId="7" xfId="0" applyFont="1" applyFill="1" applyBorder="1" applyAlignment="1" applyProtection="1">
      <alignment horizontal="center" vertical="top"/>
    </xf>
    <xf numFmtId="0" fontId="0" fillId="0" borderId="59" xfId="0" applyFont="1" applyFill="1" applyBorder="1" applyAlignment="1" applyProtection="1">
      <alignment horizontal="center" vertical="center" textRotation="90" wrapText="1"/>
    </xf>
    <xf numFmtId="0" fontId="0" fillId="0" borderId="11" xfId="0" applyFont="1" applyFill="1" applyBorder="1" applyAlignment="1" applyProtection="1">
      <alignment horizontal="center" vertical="center" textRotation="90" wrapText="1"/>
    </xf>
    <xf numFmtId="0" fontId="0" fillId="0" borderId="10" xfId="0" applyFont="1" applyFill="1" applyBorder="1" applyAlignment="1" applyProtection="1">
      <alignment horizontal="center" vertical="center" textRotation="90" wrapText="1"/>
    </xf>
    <xf numFmtId="0" fontId="10" fillId="0" borderId="12" xfId="0" applyFont="1" applyFill="1" applyBorder="1" applyAlignment="1" applyProtection="1">
      <alignment horizontal="center" vertical="center" textRotation="90" wrapText="1"/>
    </xf>
    <xf numFmtId="0" fontId="0" fillId="0" borderId="7" xfId="0" applyFont="1" applyFill="1" applyBorder="1" applyAlignment="1" applyProtection="1">
      <alignment horizontal="center" vertical="top" textRotation="90" wrapText="1"/>
    </xf>
    <xf numFmtId="0" fontId="0" fillId="0" borderId="11" xfId="0" applyFont="1" applyFill="1" applyBorder="1" applyAlignment="1" applyProtection="1">
      <alignment horizontal="center" vertical="top" textRotation="90" wrapText="1"/>
    </xf>
    <xf numFmtId="0" fontId="0" fillId="0" borderId="18" xfId="0" applyFont="1" applyFill="1" applyBorder="1" applyAlignment="1" applyProtection="1">
      <alignment horizontal="center" vertical="top" textRotation="90" wrapText="1"/>
    </xf>
    <xf numFmtId="0" fontId="19" fillId="0" borderId="3" xfId="0" applyFont="1" applyFill="1" applyBorder="1" applyAlignment="1" applyProtection="1">
      <alignment horizontal="left" wrapText="1"/>
    </xf>
    <xf numFmtId="0" fontId="19" fillId="0" borderId="8" xfId="0" applyFont="1" applyFill="1" applyBorder="1" applyAlignment="1" applyProtection="1">
      <alignment horizontal="left" wrapText="1"/>
    </xf>
    <xf numFmtId="0" fontId="25" fillId="0" borderId="6" xfId="0" applyFont="1" applyFill="1" applyBorder="1" applyAlignment="1" applyProtection="1">
      <alignment horizontal="center" vertical="center" textRotation="90" wrapText="1"/>
    </xf>
    <xf numFmtId="0" fontId="15" fillId="0" borderId="7" xfId="1" applyFont="1" applyFill="1" applyBorder="1" applyAlignment="1" applyProtection="1">
      <alignment horizontal="center" vertical="center" textRotation="90" wrapText="1"/>
    </xf>
    <xf numFmtId="0" fontId="15" fillId="0" borderId="11" xfId="1" applyFont="1" applyFill="1" applyBorder="1" applyAlignment="1" applyProtection="1">
      <alignment horizontal="center" vertical="center" textRotation="90" wrapText="1"/>
    </xf>
    <xf numFmtId="0" fontId="15" fillId="0" borderId="10" xfId="1" applyFont="1" applyFill="1" applyBorder="1" applyAlignment="1" applyProtection="1">
      <alignment horizontal="center" vertical="center" textRotation="90" wrapText="1"/>
    </xf>
    <xf numFmtId="0" fontId="10" fillId="0" borderId="59" xfId="0" applyFont="1" applyFill="1" applyBorder="1" applyAlignment="1" applyProtection="1">
      <alignment horizontal="center" vertical="center" textRotation="90" wrapText="1"/>
    </xf>
    <xf numFmtId="0" fontId="10" fillId="0" borderId="11" xfId="0" applyFont="1" applyFill="1" applyBorder="1" applyAlignment="1" applyProtection="1">
      <alignment horizontal="center" vertical="center" textRotation="90" wrapText="1"/>
    </xf>
    <xf numFmtId="0" fontId="10" fillId="0" borderId="10" xfId="0" applyFont="1" applyFill="1" applyBorder="1" applyAlignment="1" applyProtection="1">
      <alignment horizontal="center" vertical="center" textRotation="90" wrapText="1"/>
    </xf>
    <xf numFmtId="0" fontId="10" fillId="0" borderId="7" xfId="0" applyFont="1" applyFill="1" applyBorder="1" applyAlignment="1" applyProtection="1">
      <alignment horizontal="center" vertical="center" textRotation="90" wrapText="1"/>
    </xf>
    <xf numFmtId="0" fontId="10" fillId="0" borderId="18" xfId="0" applyFont="1" applyFill="1" applyBorder="1" applyAlignment="1" applyProtection="1">
      <alignment horizontal="center" vertical="center" textRotation="90" wrapText="1"/>
    </xf>
    <xf numFmtId="0" fontId="0" fillId="0" borderId="10" xfId="0" applyFont="1" applyFill="1" applyBorder="1" applyAlignment="1" applyProtection="1">
      <alignment horizontal="center" vertical="top" wrapText="1"/>
    </xf>
    <xf numFmtId="0" fontId="0" fillId="0" borderId="6" xfId="0" applyFont="1" applyFill="1" applyBorder="1" applyAlignment="1" applyProtection="1">
      <alignment horizontal="center" vertical="top" wrapText="1"/>
    </xf>
    <xf numFmtId="0" fontId="0" fillId="0" borderId="7" xfId="0" applyFont="1" applyFill="1" applyBorder="1" applyAlignment="1" applyProtection="1">
      <alignment horizontal="center" vertical="top" wrapText="1"/>
    </xf>
    <xf numFmtId="0" fontId="0" fillId="0" borderId="10" xfId="0" applyFont="1" applyFill="1" applyBorder="1" applyAlignment="1" applyProtection="1">
      <alignment horizontal="center" wrapText="1"/>
    </xf>
    <xf numFmtId="0" fontId="0" fillId="0" borderId="6" xfId="0" applyFont="1" applyFill="1" applyBorder="1" applyAlignment="1" applyProtection="1">
      <alignment horizontal="center" wrapText="1"/>
    </xf>
    <xf numFmtId="0" fontId="0" fillId="0" borderId="7" xfId="0" applyFont="1" applyFill="1" applyBorder="1" applyAlignment="1" applyProtection="1">
      <alignment horizontal="center" wrapText="1"/>
    </xf>
    <xf numFmtId="0" fontId="25" fillId="0" borderId="62" xfId="0" applyFont="1" applyFill="1" applyBorder="1" applyAlignment="1" applyProtection="1">
      <alignment horizontal="center" vertical="center" wrapText="1"/>
    </xf>
    <xf numFmtId="0" fontId="25" fillId="0" borderId="34" xfId="0" applyFont="1" applyFill="1" applyBorder="1" applyAlignment="1" applyProtection="1">
      <alignment horizontal="center" vertical="center" wrapText="1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6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 applyProtection="1">
      <alignment horizontal="center"/>
    </xf>
    <xf numFmtId="0" fontId="18" fillId="0" borderId="8" xfId="0" applyFont="1" applyFill="1" applyBorder="1" applyAlignment="1" applyProtection="1">
      <alignment horizontal="center"/>
    </xf>
    <xf numFmtId="0" fontId="18" fillId="0" borderId="57" xfId="0" applyFont="1" applyFill="1" applyBorder="1" applyAlignment="1" applyProtection="1">
      <alignment horizontal="center"/>
    </xf>
    <xf numFmtId="0" fontId="18" fillId="0" borderId="36" xfId="0" applyFont="1" applyFill="1" applyBorder="1" applyAlignment="1" applyProtection="1">
      <alignment horizontal="center" wrapText="1"/>
    </xf>
    <xf numFmtId="0" fontId="18" fillId="0" borderId="64" xfId="0" applyFont="1" applyFill="1" applyBorder="1" applyAlignment="1" applyProtection="1">
      <alignment horizontal="center" wrapText="1"/>
    </xf>
    <xf numFmtId="0" fontId="18" fillId="0" borderId="75" xfId="0" applyFont="1" applyFill="1" applyBorder="1" applyAlignment="1" applyProtection="1">
      <alignment horizontal="center" wrapText="1"/>
    </xf>
    <xf numFmtId="0" fontId="0" fillId="0" borderId="17" xfId="0" applyFont="1" applyFill="1" applyBorder="1" applyAlignment="1" applyProtection="1">
      <alignment horizontal="center" vertical="top" wrapText="1"/>
    </xf>
    <xf numFmtId="0" fontId="25" fillId="0" borderId="24" xfId="0" applyFont="1" applyFill="1" applyBorder="1" applyAlignment="1" applyProtection="1">
      <alignment horizontal="center" vertical="center" textRotation="90" wrapText="1"/>
    </xf>
    <xf numFmtId="0" fontId="25" fillId="0" borderId="17" xfId="0" applyFont="1" applyFill="1" applyBorder="1" applyAlignment="1" applyProtection="1">
      <alignment horizontal="center" vertical="center" textRotation="90" wrapText="1"/>
    </xf>
    <xf numFmtId="0" fontId="0" fillId="0" borderId="59" xfId="0" applyFont="1" applyFill="1" applyBorder="1" applyAlignment="1" applyProtection="1">
      <alignment horizontal="center"/>
    </xf>
    <xf numFmtId="0" fontId="0" fillId="0" borderId="11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16" xfId="0" applyFont="1" applyFill="1" applyBorder="1" applyAlignment="1" applyProtection="1">
      <alignment horizontal="center" wrapText="1"/>
    </xf>
    <xf numFmtId="0" fontId="18" fillId="0" borderId="3" xfId="0" applyFont="1" applyFill="1" applyBorder="1" applyAlignment="1" applyProtection="1">
      <alignment horizontal="left"/>
    </xf>
    <xf numFmtId="0" fontId="18" fillId="0" borderId="8" xfId="0" applyFont="1" applyFill="1" applyBorder="1" applyAlignment="1" applyProtection="1">
      <alignment horizontal="left"/>
    </xf>
    <xf numFmtId="0" fontId="18" fillId="0" borderId="57" xfId="0" applyFont="1" applyFill="1" applyBorder="1" applyAlignment="1" applyProtection="1">
      <alignment horizontal="left"/>
    </xf>
    <xf numFmtId="0" fontId="22" fillId="0" borderId="14" xfId="0" applyFont="1" applyFill="1" applyBorder="1" applyAlignment="1" applyProtection="1">
      <alignment wrapText="1"/>
    </xf>
    <xf numFmtId="0" fontId="22" fillId="0" borderId="29" xfId="0" applyFont="1" applyFill="1" applyBorder="1" applyAlignment="1" applyProtection="1">
      <alignment wrapText="1"/>
    </xf>
    <xf numFmtId="0" fontId="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</cellXfs>
  <cellStyles count="2">
    <cellStyle name="Good" xfId="1" builtinId="26"/>
    <cellStyle name="Normal" xfId="0" builtinId="0"/>
  </cellStyles>
  <dxfs count="2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216</xdr:row>
          <xdr:rowOff>0</xdr:rowOff>
        </xdr:from>
        <xdr:to>
          <xdr:col>3</xdr:col>
          <xdr:colOff>0</xdr:colOff>
          <xdr:row>216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2295525</xdr:colOff>
          <xdr:row>216</xdr:row>
          <xdr:rowOff>0</xdr:rowOff>
        </xdr:from>
        <xdr:to>
          <xdr:col>2</xdr:col>
          <xdr:colOff>3867150</xdr:colOff>
          <xdr:row>216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2409825</xdr:colOff>
          <xdr:row>216</xdr:row>
          <xdr:rowOff>0</xdr:rowOff>
        </xdr:from>
        <xdr:to>
          <xdr:col>2</xdr:col>
          <xdr:colOff>3790950</xdr:colOff>
          <xdr:row>216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2238375</xdr:colOff>
          <xdr:row>216</xdr:row>
          <xdr:rowOff>0</xdr:rowOff>
        </xdr:from>
        <xdr:to>
          <xdr:col>2</xdr:col>
          <xdr:colOff>3752850</xdr:colOff>
          <xdr:row>216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2333625</xdr:colOff>
          <xdr:row>216</xdr:row>
          <xdr:rowOff>0</xdr:rowOff>
        </xdr:from>
        <xdr:to>
          <xdr:col>2</xdr:col>
          <xdr:colOff>3724275</xdr:colOff>
          <xdr:row>216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2257425</xdr:colOff>
          <xdr:row>216</xdr:row>
          <xdr:rowOff>0</xdr:rowOff>
        </xdr:from>
        <xdr:to>
          <xdr:col>2</xdr:col>
          <xdr:colOff>3867150</xdr:colOff>
          <xdr:row>216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2343150</xdr:colOff>
          <xdr:row>216</xdr:row>
          <xdr:rowOff>0</xdr:rowOff>
        </xdr:from>
        <xdr:to>
          <xdr:col>2</xdr:col>
          <xdr:colOff>3838575</xdr:colOff>
          <xdr:row>216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2171700</xdr:colOff>
          <xdr:row>216</xdr:row>
          <xdr:rowOff>0</xdr:rowOff>
        </xdr:from>
        <xdr:to>
          <xdr:col>2</xdr:col>
          <xdr:colOff>3867150</xdr:colOff>
          <xdr:row>216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2247900</xdr:colOff>
          <xdr:row>216</xdr:row>
          <xdr:rowOff>0</xdr:rowOff>
        </xdr:from>
        <xdr:to>
          <xdr:col>2</xdr:col>
          <xdr:colOff>3867150</xdr:colOff>
          <xdr:row>216</xdr:row>
          <xdr:rowOff>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1885950</xdr:colOff>
          <xdr:row>216</xdr:row>
          <xdr:rowOff>0</xdr:rowOff>
        </xdr:from>
        <xdr:to>
          <xdr:col>2</xdr:col>
          <xdr:colOff>3867150</xdr:colOff>
          <xdr:row>216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1905000</xdr:colOff>
          <xdr:row>216</xdr:row>
          <xdr:rowOff>0</xdr:rowOff>
        </xdr:from>
        <xdr:to>
          <xdr:col>2</xdr:col>
          <xdr:colOff>3867150</xdr:colOff>
          <xdr:row>216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2295525</xdr:colOff>
          <xdr:row>11</xdr:row>
          <xdr:rowOff>0</xdr:rowOff>
        </xdr:from>
        <xdr:to>
          <xdr:col>0</xdr:col>
          <xdr:colOff>3819525</xdr:colOff>
          <xdr:row>11</xdr:row>
          <xdr:rowOff>0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2409825</xdr:colOff>
          <xdr:row>11</xdr:row>
          <xdr:rowOff>0</xdr:rowOff>
        </xdr:from>
        <xdr:to>
          <xdr:col>0</xdr:col>
          <xdr:colOff>3790950</xdr:colOff>
          <xdr:row>11</xdr:row>
          <xdr:rowOff>0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2238375</xdr:colOff>
          <xdr:row>11</xdr:row>
          <xdr:rowOff>0</xdr:rowOff>
        </xdr:from>
        <xdr:to>
          <xdr:col>0</xdr:col>
          <xdr:colOff>3752850</xdr:colOff>
          <xdr:row>11</xdr:row>
          <xdr:rowOff>0</xdr:rowOff>
        </xdr:to>
        <xdr:sp macro="" textlink="">
          <xdr:nvSpPr>
            <xdr:cNvPr id="4109" name="Object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2333625</xdr:colOff>
          <xdr:row>11</xdr:row>
          <xdr:rowOff>0</xdr:rowOff>
        </xdr:from>
        <xdr:to>
          <xdr:col>0</xdr:col>
          <xdr:colOff>3724275</xdr:colOff>
          <xdr:row>11</xdr:row>
          <xdr:rowOff>0</xdr:rowOff>
        </xdr:to>
        <xdr:sp macro="" textlink="">
          <xdr:nvSpPr>
            <xdr:cNvPr id="4110" name="Object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2257425</xdr:colOff>
          <xdr:row>11</xdr:row>
          <xdr:rowOff>0</xdr:rowOff>
        </xdr:from>
        <xdr:to>
          <xdr:col>0</xdr:col>
          <xdr:colOff>3819525</xdr:colOff>
          <xdr:row>11</xdr:row>
          <xdr:rowOff>0</xdr:rowOff>
        </xdr:to>
        <xdr:sp macro="" textlink="">
          <xdr:nvSpPr>
            <xdr:cNvPr id="4111" name="Object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2343150</xdr:colOff>
          <xdr:row>11</xdr:row>
          <xdr:rowOff>0</xdr:rowOff>
        </xdr:from>
        <xdr:to>
          <xdr:col>0</xdr:col>
          <xdr:colOff>3819525</xdr:colOff>
          <xdr:row>11</xdr:row>
          <xdr:rowOff>0</xdr:rowOff>
        </xdr:to>
        <xdr:sp macro="" textlink="">
          <xdr:nvSpPr>
            <xdr:cNvPr id="4112" name="Object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2171700</xdr:colOff>
          <xdr:row>11</xdr:row>
          <xdr:rowOff>0</xdr:rowOff>
        </xdr:from>
        <xdr:to>
          <xdr:col>0</xdr:col>
          <xdr:colOff>3819525</xdr:colOff>
          <xdr:row>11</xdr:row>
          <xdr:rowOff>0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2247900</xdr:colOff>
          <xdr:row>11</xdr:row>
          <xdr:rowOff>0</xdr:rowOff>
        </xdr:from>
        <xdr:to>
          <xdr:col>0</xdr:col>
          <xdr:colOff>3819525</xdr:colOff>
          <xdr:row>11</xdr:row>
          <xdr:rowOff>0</xdr:rowOff>
        </xdr:to>
        <xdr:sp macro="" textlink="">
          <xdr:nvSpPr>
            <xdr:cNvPr id="4114" name="Object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1885950</xdr:colOff>
          <xdr:row>11</xdr:row>
          <xdr:rowOff>0</xdr:rowOff>
        </xdr:from>
        <xdr:to>
          <xdr:col>0</xdr:col>
          <xdr:colOff>3819525</xdr:colOff>
          <xdr:row>11</xdr:row>
          <xdr:rowOff>0</xdr:rowOff>
        </xdr:to>
        <xdr:sp macro="" textlink="">
          <xdr:nvSpPr>
            <xdr:cNvPr id="4115" name="Object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1905000</xdr:colOff>
          <xdr:row>11</xdr:row>
          <xdr:rowOff>0</xdr:rowOff>
        </xdr:from>
        <xdr:to>
          <xdr:col>0</xdr:col>
          <xdr:colOff>3819525</xdr:colOff>
          <xdr:row>11</xdr:row>
          <xdr:rowOff>0</xdr:rowOff>
        </xdr:to>
        <xdr:sp macro="" textlink="">
          <xdr:nvSpPr>
            <xdr:cNvPr id="4116" name="Object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wmf"/><Relationship Id="rId3" Type="http://schemas.openxmlformats.org/officeDocument/2006/relationships/vmlDrawing" Target="../drawings/vmlDrawing2.vml"/><Relationship Id="rId21" Type="http://schemas.openxmlformats.org/officeDocument/2006/relationships/image" Target="../media/image9.w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5" Type="http://schemas.openxmlformats.org/officeDocument/2006/relationships/image" Target="../media/image11.wmf"/><Relationship Id="rId33" Type="http://schemas.openxmlformats.org/officeDocument/2006/relationships/image" Target="../media/image15.wmf"/><Relationship Id="rId38" Type="http://schemas.openxmlformats.org/officeDocument/2006/relationships/oleObject" Target="../embeddings/oleObject18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wmf"/><Relationship Id="rId41" Type="http://schemas.openxmlformats.org/officeDocument/2006/relationships/image" Target="../media/image19.wmf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w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23" Type="http://schemas.openxmlformats.org/officeDocument/2006/relationships/image" Target="../media/image10.w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31" Type="http://schemas.openxmlformats.org/officeDocument/2006/relationships/image" Target="../media/image14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w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wmf"/><Relationship Id="rId43" Type="http://schemas.openxmlformats.org/officeDocument/2006/relationships/image" Target="../media/image20.w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28.bin"/><Relationship Id="rId26" Type="http://schemas.openxmlformats.org/officeDocument/2006/relationships/oleObject" Target="../embeddings/oleObject32.bin"/><Relationship Id="rId39" Type="http://schemas.openxmlformats.org/officeDocument/2006/relationships/image" Target="../media/image18.wmf"/><Relationship Id="rId3" Type="http://schemas.openxmlformats.org/officeDocument/2006/relationships/vmlDrawing" Target="../drawings/vmlDrawing3.vml"/><Relationship Id="rId21" Type="http://schemas.openxmlformats.org/officeDocument/2006/relationships/image" Target="../media/image9.wmf"/><Relationship Id="rId34" Type="http://schemas.openxmlformats.org/officeDocument/2006/relationships/oleObject" Target="../embeddings/oleObject36.bin"/><Relationship Id="rId42" Type="http://schemas.openxmlformats.org/officeDocument/2006/relationships/oleObject" Target="../embeddings/oleObject40.bin"/><Relationship Id="rId7" Type="http://schemas.openxmlformats.org/officeDocument/2006/relationships/image" Target="../media/image2.wmf"/><Relationship Id="rId12" Type="http://schemas.openxmlformats.org/officeDocument/2006/relationships/oleObject" Target="../embeddings/oleObject25.bin"/><Relationship Id="rId17" Type="http://schemas.openxmlformats.org/officeDocument/2006/relationships/image" Target="../media/image7.wmf"/><Relationship Id="rId25" Type="http://schemas.openxmlformats.org/officeDocument/2006/relationships/image" Target="../media/image11.wmf"/><Relationship Id="rId33" Type="http://schemas.openxmlformats.org/officeDocument/2006/relationships/image" Target="../media/image15.wmf"/><Relationship Id="rId38" Type="http://schemas.openxmlformats.org/officeDocument/2006/relationships/oleObject" Target="../embeddings/oleObject3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29.bin"/><Relationship Id="rId29" Type="http://schemas.openxmlformats.org/officeDocument/2006/relationships/image" Target="../media/image13.wmf"/><Relationship Id="rId41" Type="http://schemas.openxmlformats.org/officeDocument/2006/relationships/image" Target="../media/image19.wmf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2.bin"/><Relationship Id="rId11" Type="http://schemas.openxmlformats.org/officeDocument/2006/relationships/image" Target="../media/image4.wmf"/><Relationship Id="rId24" Type="http://schemas.openxmlformats.org/officeDocument/2006/relationships/oleObject" Target="../embeddings/oleObject31.bin"/><Relationship Id="rId32" Type="http://schemas.openxmlformats.org/officeDocument/2006/relationships/oleObject" Target="../embeddings/oleObject35.bin"/><Relationship Id="rId37" Type="http://schemas.openxmlformats.org/officeDocument/2006/relationships/image" Target="../media/image17.wmf"/><Relationship Id="rId40" Type="http://schemas.openxmlformats.org/officeDocument/2006/relationships/oleObject" Target="../embeddings/oleObject39.bin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23" Type="http://schemas.openxmlformats.org/officeDocument/2006/relationships/image" Target="../media/image10.wmf"/><Relationship Id="rId28" Type="http://schemas.openxmlformats.org/officeDocument/2006/relationships/oleObject" Target="../embeddings/oleObject33.bin"/><Relationship Id="rId36" Type="http://schemas.openxmlformats.org/officeDocument/2006/relationships/oleObject" Target="../embeddings/oleObject37.bin"/><Relationship Id="rId10" Type="http://schemas.openxmlformats.org/officeDocument/2006/relationships/oleObject" Target="../embeddings/oleObject24.bin"/><Relationship Id="rId19" Type="http://schemas.openxmlformats.org/officeDocument/2006/relationships/image" Target="../media/image8.wmf"/><Relationship Id="rId31" Type="http://schemas.openxmlformats.org/officeDocument/2006/relationships/image" Target="../media/image14.wmf"/><Relationship Id="rId4" Type="http://schemas.openxmlformats.org/officeDocument/2006/relationships/oleObject" Target="../embeddings/oleObject2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26.bin"/><Relationship Id="rId22" Type="http://schemas.openxmlformats.org/officeDocument/2006/relationships/oleObject" Target="../embeddings/oleObject30.bin"/><Relationship Id="rId27" Type="http://schemas.openxmlformats.org/officeDocument/2006/relationships/image" Target="../media/image12.wmf"/><Relationship Id="rId30" Type="http://schemas.openxmlformats.org/officeDocument/2006/relationships/oleObject" Target="../embeddings/oleObject34.bin"/><Relationship Id="rId35" Type="http://schemas.openxmlformats.org/officeDocument/2006/relationships/image" Target="../media/image16.wmf"/><Relationship Id="rId43" Type="http://schemas.openxmlformats.org/officeDocument/2006/relationships/image" Target="../media/image20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6"/>
  <sheetViews>
    <sheetView tabSelected="1" workbookViewId="0">
      <selection activeCell="D186" sqref="D186"/>
    </sheetView>
  </sheetViews>
  <sheetFormatPr defaultRowHeight="15.75" x14ac:dyDescent="0.25"/>
  <cols>
    <col min="1" max="1" width="81.28515625" style="2" customWidth="1"/>
    <col min="2" max="2" width="8.28515625" style="3" customWidth="1"/>
    <col min="3" max="3" width="13.42578125" style="4" customWidth="1"/>
    <col min="6" max="6" width="23.5703125" customWidth="1"/>
    <col min="7" max="7" width="41.42578125" customWidth="1"/>
  </cols>
  <sheetData>
    <row r="1" spans="1:8" x14ac:dyDescent="0.25">
      <c r="A1" s="326" t="s">
        <v>418</v>
      </c>
      <c r="B1" s="327"/>
      <c r="C1" s="328"/>
    </row>
    <row r="2" spans="1:8" x14ac:dyDescent="0.25">
      <c r="A2" s="325"/>
      <c r="B2" s="325"/>
      <c r="C2" s="325"/>
    </row>
    <row r="3" spans="1:8" x14ac:dyDescent="0.25">
      <c r="A3" s="329"/>
      <c r="B3" s="330"/>
      <c r="C3" s="331"/>
      <c r="D3" s="267"/>
    </row>
    <row r="4" spans="1:8" x14ac:dyDescent="0.25">
      <c r="A4" s="329"/>
      <c r="B4" s="330"/>
      <c r="C4" s="331"/>
      <c r="D4" s="267"/>
    </row>
    <row r="5" spans="1:8" x14ac:dyDescent="0.25">
      <c r="A5" s="322"/>
      <c r="B5" s="322"/>
      <c r="C5" s="322"/>
    </row>
    <row r="6" spans="1:8" ht="16.5" x14ac:dyDescent="0.3">
      <c r="A6" s="332" t="s">
        <v>417</v>
      </c>
      <c r="B6" s="333"/>
      <c r="C6" s="334"/>
    </row>
    <row r="7" spans="1:8" x14ac:dyDescent="0.25">
      <c r="A7" s="335"/>
      <c r="B7" s="336"/>
      <c r="C7" s="337"/>
    </row>
    <row r="8" spans="1:8" ht="13.5" customHeight="1" thickBot="1" x14ac:dyDescent="0.35">
      <c r="A8" s="324"/>
      <c r="B8" s="324"/>
      <c r="C8" s="324"/>
    </row>
    <row r="9" spans="1:8" ht="16.5" thickBot="1" x14ac:dyDescent="0.3">
      <c r="A9" s="8" t="s">
        <v>0</v>
      </c>
      <c r="B9" s="269"/>
      <c r="C9" s="9" t="s">
        <v>1</v>
      </c>
      <c r="H9">
        <f>IF(B9&lt;5,5,B9)</f>
        <v>5</v>
      </c>
    </row>
    <row r="10" spans="1:8" x14ac:dyDescent="0.25">
      <c r="A10" s="323"/>
      <c r="B10" s="323"/>
      <c r="C10" s="323"/>
    </row>
    <row r="11" spans="1:8" x14ac:dyDescent="0.25">
      <c r="A11" s="318" t="s">
        <v>305</v>
      </c>
      <c r="B11" s="316"/>
      <c r="C11" s="316"/>
    </row>
    <row r="12" spans="1:8" ht="31.5" customHeight="1" thickBot="1" x14ac:dyDescent="0.3">
      <c r="A12" s="316" t="s">
        <v>419</v>
      </c>
      <c r="B12" s="317"/>
      <c r="C12" s="317"/>
    </row>
    <row r="13" spans="1:8" ht="16.5" thickBot="1" x14ac:dyDescent="0.3">
      <c r="A13" s="27" t="s">
        <v>85</v>
      </c>
      <c r="B13" s="5" t="s">
        <v>8</v>
      </c>
      <c r="C13" s="6" t="s">
        <v>11</v>
      </c>
    </row>
    <row r="14" spans="1:8" ht="19.5" thickBot="1" x14ac:dyDescent="0.3">
      <c r="A14" s="26" t="s">
        <v>86</v>
      </c>
      <c r="B14" s="5"/>
      <c r="C14" s="6">
        <f>'A. Activitate didactica'!H11</f>
        <v>0</v>
      </c>
    </row>
    <row r="15" spans="1:8" ht="16.5" thickBot="1" x14ac:dyDescent="0.3">
      <c r="A15" s="7" t="s">
        <v>87</v>
      </c>
      <c r="B15" s="6">
        <f>'A. Activitate didactica'!G12</f>
        <v>0</v>
      </c>
      <c r="C15" s="6">
        <f>'A. Activitate didactica'!H12</f>
        <v>0</v>
      </c>
    </row>
    <row r="16" spans="1:8" x14ac:dyDescent="0.25">
      <c r="A16" s="91" t="s">
        <v>140</v>
      </c>
      <c r="B16" s="92">
        <f>'A. Activitate didactica'!G13</f>
        <v>0</v>
      </c>
      <c r="C16" s="92">
        <f>'A. Activitate didactica'!H13</f>
        <v>0</v>
      </c>
    </row>
    <row r="17" spans="1:3" x14ac:dyDescent="0.25">
      <c r="A17" s="93" t="s">
        <v>88</v>
      </c>
      <c r="B17" s="94">
        <f>'A. Activitate didactica'!G14</f>
        <v>0</v>
      </c>
      <c r="C17" s="94">
        <f>'A. Activitate didactica'!H14</f>
        <v>0</v>
      </c>
    </row>
    <row r="18" spans="1:3" x14ac:dyDescent="0.25">
      <c r="A18" s="95" t="s">
        <v>128</v>
      </c>
      <c r="B18" s="96">
        <f>'A. Activitate didactica'!G15</f>
        <v>0</v>
      </c>
      <c r="C18" s="96">
        <f>'A. Activitate didactica'!H15</f>
        <v>0</v>
      </c>
    </row>
    <row r="19" spans="1:3" x14ac:dyDescent="0.25">
      <c r="A19" s="95" t="s">
        <v>127</v>
      </c>
      <c r="B19" s="96">
        <f>'A. Activitate didactica'!G21</f>
        <v>0</v>
      </c>
      <c r="C19" s="96">
        <f>'A. Activitate didactica'!H21</f>
        <v>0</v>
      </c>
    </row>
    <row r="20" spans="1:3" x14ac:dyDescent="0.25">
      <c r="A20" s="95" t="s">
        <v>386</v>
      </c>
      <c r="B20" s="96">
        <f>'A. Activitate didactica'!G32</f>
        <v>0</v>
      </c>
      <c r="C20" s="96">
        <f>'A. Activitate didactica'!H32</f>
        <v>0</v>
      </c>
    </row>
    <row r="21" spans="1:3" x14ac:dyDescent="0.25">
      <c r="A21" s="93" t="s">
        <v>95</v>
      </c>
      <c r="B21" s="94">
        <f>'A. Activitate didactica'!G42</f>
        <v>0</v>
      </c>
      <c r="C21" s="94">
        <f>'A. Activitate didactica'!H42</f>
        <v>0</v>
      </c>
    </row>
    <row r="22" spans="1:3" x14ac:dyDescent="0.25">
      <c r="A22" s="95" t="s">
        <v>129</v>
      </c>
      <c r="B22" s="96">
        <f>'A. Activitate didactica'!G43</f>
        <v>0</v>
      </c>
      <c r="C22" s="96">
        <f>'A. Activitate didactica'!H43</f>
        <v>0</v>
      </c>
    </row>
    <row r="23" spans="1:3" x14ac:dyDescent="0.25">
      <c r="A23" s="95" t="s">
        <v>130</v>
      </c>
      <c r="B23" s="96">
        <f>'A. Activitate didactica'!G49</f>
        <v>0</v>
      </c>
      <c r="C23" s="96">
        <f>'A. Activitate didactica'!H49</f>
        <v>0</v>
      </c>
    </row>
    <row r="24" spans="1:3" x14ac:dyDescent="0.25">
      <c r="A24" s="95" t="s">
        <v>387</v>
      </c>
      <c r="B24" s="96">
        <f>'A. Activitate didactica'!G55</f>
        <v>0</v>
      </c>
      <c r="C24" s="96">
        <f>'A. Activitate didactica'!H55</f>
        <v>0</v>
      </c>
    </row>
    <row r="25" spans="1:3" x14ac:dyDescent="0.25">
      <c r="A25" s="97" t="s">
        <v>141</v>
      </c>
      <c r="B25" s="94">
        <f>'A. Activitate didactica'!G61</f>
        <v>0</v>
      </c>
      <c r="C25" s="94">
        <f>'A. Activitate didactica'!H61</f>
        <v>0</v>
      </c>
    </row>
    <row r="26" spans="1:3" x14ac:dyDescent="0.25">
      <c r="A26" s="238" t="s">
        <v>322</v>
      </c>
      <c r="B26" s="96">
        <f>'A. Activitate didactica'!G62</f>
        <v>0</v>
      </c>
      <c r="C26" s="96">
        <f>'A. Activitate didactica'!H62</f>
        <v>0</v>
      </c>
    </row>
    <row r="27" spans="1:3" x14ac:dyDescent="0.25">
      <c r="A27" s="238" t="s">
        <v>323</v>
      </c>
      <c r="B27" s="96">
        <f>'A. Activitate didactica'!G68</f>
        <v>0</v>
      </c>
      <c r="C27" s="96">
        <f>'A. Activitate didactica'!H68</f>
        <v>0</v>
      </c>
    </row>
    <row r="28" spans="1:3" x14ac:dyDescent="0.25">
      <c r="A28" s="95" t="s">
        <v>388</v>
      </c>
      <c r="B28" s="96">
        <f>'A. Activitate didactica'!G74</f>
        <v>0</v>
      </c>
      <c r="C28" s="96">
        <f>'A. Activitate didactica'!H74</f>
        <v>0</v>
      </c>
    </row>
    <row r="29" spans="1:3" x14ac:dyDescent="0.25">
      <c r="A29" s="97" t="s">
        <v>159</v>
      </c>
      <c r="B29" s="94">
        <f>'A. Activitate didactica'!G80</f>
        <v>0</v>
      </c>
      <c r="C29" s="94">
        <f>'A. Activitate didactica'!H80</f>
        <v>0</v>
      </c>
    </row>
    <row r="30" spans="1:3" x14ac:dyDescent="0.25">
      <c r="A30" s="93" t="s">
        <v>107</v>
      </c>
      <c r="B30" s="96">
        <f>'A. Activitate didactica'!G81</f>
        <v>0</v>
      </c>
      <c r="C30" s="96">
        <f>'A. Activitate didactica'!H81</f>
        <v>0</v>
      </c>
    </row>
    <row r="31" spans="1:3" x14ac:dyDescent="0.25">
      <c r="A31" s="95" t="s">
        <v>131</v>
      </c>
      <c r="B31" s="96">
        <f>'A. Activitate didactica'!G82</f>
        <v>0</v>
      </c>
      <c r="C31" s="96">
        <f>'A. Activitate didactica'!H82</f>
        <v>0</v>
      </c>
    </row>
    <row r="32" spans="1:3" x14ac:dyDescent="0.25">
      <c r="A32" s="95" t="s">
        <v>132</v>
      </c>
      <c r="B32" s="96">
        <f>'A. Activitate didactica'!G88</f>
        <v>0</v>
      </c>
      <c r="C32" s="96">
        <f>'A. Activitate didactica'!H88</f>
        <v>0</v>
      </c>
    </row>
    <row r="33" spans="1:3" x14ac:dyDescent="0.25">
      <c r="A33" s="95" t="s">
        <v>388</v>
      </c>
      <c r="B33" s="96">
        <f>'A. Activitate didactica'!G99</f>
        <v>0</v>
      </c>
      <c r="C33" s="96">
        <f>'A. Activitate didactica'!H99</f>
        <v>0</v>
      </c>
    </row>
    <row r="34" spans="1:3" x14ac:dyDescent="0.25">
      <c r="A34" s="98" t="s">
        <v>109</v>
      </c>
      <c r="B34" s="94">
        <f>'A. Activitate didactica'!G110</f>
        <v>0</v>
      </c>
      <c r="C34" s="94">
        <f>'A. Activitate didactica'!H110</f>
        <v>0</v>
      </c>
    </row>
    <row r="35" spans="1:3" x14ac:dyDescent="0.25">
      <c r="A35" s="95" t="s">
        <v>133</v>
      </c>
      <c r="B35" s="96">
        <f>'A. Activitate didactica'!G111</f>
        <v>0</v>
      </c>
      <c r="C35" s="96">
        <f>'A. Activitate didactica'!H111</f>
        <v>0</v>
      </c>
    </row>
    <row r="36" spans="1:3" x14ac:dyDescent="0.25">
      <c r="A36" s="95" t="s">
        <v>134</v>
      </c>
      <c r="B36" s="96">
        <f>'A. Activitate didactica'!G117</f>
        <v>0</v>
      </c>
      <c r="C36" s="96">
        <f>'A. Activitate didactica'!H117</f>
        <v>0</v>
      </c>
    </row>
    <row r="37" spans="1:3" ht="16.5" thickBot="1" x14ac:dyDescent="0.3">
      <c r="A37" s="95" t="s">
        <v>386</v>
      </c>
      <c r="B37" s="99">
        <f>'A. Activitate didactica'!G123</f>
        <v>0</v>
      </c>
      <c r="C37" s="99">
        <f>'A. Activitate didactica'!H123</f>
        <v>0</v>
      </c>
    </row>
    <row r="38" spans="1:3" ht="33" customHeight="1" thickBot="1" x14ac:dyDescent="0.3">
      <c r="A38" s="100" t="s">
        <v>248</v>
      </c>
      <c r="B38" s="101"/>
      <c r="C38" s="102">
        <f>'A. Activitate didactica'!H129</f>
        <v>0</v>
      </c>
    </row>
    <row r="39" spans="1:3" ht="16.5" thickBot="1" x14ac:dyDescent="0.3">
      <c r="A39" s="91" t="s">
        <v>440</v>
      </c>
      <c r="B39" s="92">
        <f>'A. Activitate didactica'!G130</f>
        <v>0</v>
      </c>
      <c r="C39" s="92">
        <f>'A. Activitate didactica'!H130</f>
        <v>0</v>
      </c>
    </row>
    <row r="40" spans="1:3" ht="32.25" thickBot="1" x14ac:dyDescent="0.3">
      <c r="A40" s="100" t="s">
        <v>89</v>
      </c>
      <c r="B40" s="101"/>
      <c r="C40" s="102">
        <f>'A. Activitate didactica'!H153</f>
        <v>0</v>
      </c>
    </row>
    <row r="41" spans="1:3" x14ac:dyDescent="0.25">
      <c r="A41" s="91" t="s">
        <v>137</v>
      </c>
      <c r="B41" s="92">
        <f>'A. Activitate didactica'!G154</f>
        <v>0</v>
      </c>
      <c r="C41" s="92">
        <f>'A. Activitate didactica'!H154</f>
        <v>0</v>
      </c>
    </row>
    <row r="42" spans="1:3" x14ac:dyDescent="0.25">
      <c r="A42" s="95" t="s">
        <v>133</v>
      </c>
      <c r="B42" s="96">
        <f>'A. Activitate didactica'!G155</f>
        <v>0</v>
      </c>
      <c r="C42" s="96">
        <f>'A. Activitate didactica'!H155</f>
        <v>0</v>
      </c>
    </row>
    <row r="43" spans="1:3" x14ac:dyDescent="0.25">
      <c r="A43" s="95" t="s">
        <v>134</v>
      </c>
      <c r="B43" s="96">
        <f>'A. Activitate didactica'!G161</f>
        <v>0</v>
      </c>
      <c r="C43" s="96">
        <f>'A. Activitate didactica'!H161</f>
        <v>0</v>
      </c>
    </row>
    <row r="44" spans="1:3" x14ac:dyDescent="0.25">
      <c r="A44" s="95" t="s">
        <v>388</v>
      </c>
      <c r="B44" s="96">
        <f>'A. Activitate didactica'!G170</f>
        <v>0</v>
      </c>
      <c r="C44" s="96">
        <f>'A. Activitate didactica'!H170</f>
        <v>0</v>
      </c>
    </row>
    <row r="45" spans="1:3" x14ac:dyDescent="0.25">
      <c r="A45" s="97" t="s">
        <v>138</v>
      </c>
      <c r="B45" s="94">
        <f>'A. Activitate didactica'!G180</f>
        <v>0</v>
      </c>
      <c r="C45" s="94">
        <f>'A. Activitate didactica'!H180</f>
        <v>0</v>
      </c>
    </row>
    <row r="46" spans="1:3" x14ac:dyDescent="0.25">
      <c r="A46" s="95" t="s">
        <v>135</v>
      </c>
      <c r="B46" s="96">
        <f>'A. Activitate didactica'!G181</f>
        <v>0</v>
      </c>
      <c r="C46" s="96">
        <f>'A. Activitate didactica'!H181</f>
        <v>0</v>
      </c>
    </row>
    <row r="47" spans="1:3" x14ac:dyDescent="0.25">
      <c r="A47" s="95" t="s">
        <v>136</v>
      </c>
      <c r="B47" s="96">
        <f>'A. Activitate didactica'!G187</f>
        <v>0</v>
      </c>
      <c r="C47" s="96">
        <f>'A. Activitate didactica'!H187</f>
        <v>0</v>
      </c>
    </row>
    <row r="48" spans="1:3" ht="16.5" thickBot="1" x14ac:dyDescent="0.3">
      <c r="A48" s="95" t="s">
        <v>388</v>
      </c>
      <c r="B48" s="99">
        <f>'A. Activitate didactica'!G197</f>
        <v>0</v>
      </c>
      <c r="C48" s="99">
        <f>'A. Activitate didactica'!H197</f>
        <v>0</v>
      </c>
    </row>
    <row r="49" spans="1:6" ht="32.25" thickBot="1" x14ac:dyDescent="0.3">
      <c r="A49" s="100" t="s">
        <v>247</v>
      </c>
      <c r="B49" s="101"/>
      <c r="C49" s="102">
        <f>'A. Activitate didactica'!H207</f>
        <v>0</v>
      </c>
    </row>
    <row r="50" spans="1:6" ht="16.5" thickBot="1" x14ac:dyDescent="0.3">
      <c r="A50" s="103" t="s">
        <v>139</v>
      </c>
      <c r="B50" s="92">
        <f>'A. Activitate didactica'!G208</f>
        <v>0</v>
      </c>
      <c r="C50" s="92">
        <f>'A. Activitate didactica'!H208</f>
        <v>0</v>
      </c>
    </row>
    <row r="51" spans="1:6" ht="20.25" thickTop="1" thickBot="1" x14ac:dyDescent="0.3">
      <c r="A51" s="104" t="s">
        <v>438</v>
      </c>
      <c r="B51" s="105"/>
      <c r="C51" s="106">
        <f>'B. Activitate de cercetare'!H12</f>
        <v>0</v>
      </c>
    </row>
    <row r="52" spans="1:6" ht="66" x14ac:dyDescent="0.25">
      <c r="A52" s="107" t="s">
        <v>433</v>
      </c>
      <c r="B52" s="108"/>
      <c r="C52" s="109">
        <f>'B. Activitate de cercetare'!H13</f>
        <v>0</v>
      </c>
      <c r="E52" s="1"/>
    </row>
    <row r="53" spans="1:6" ht="48" thickBot="1" x14ac:dyDescent="0.3">
      <c r="A53" s="110" t="s">
        <v>385</v>
      </c>
      <c r="B53" s="111"/>
      <c r="C53" s="112"/>
      <c r="F53" t="s">
        <v>123</v>
      </c>
    </row>
    <row r="54" spans="1:6" ht="18.75" customHeight="1" x14ac:dyDescent="0.25">
      <c r="A54" s="239" t="s">
        <v>267</v>
      </c>
      <c r="B54" s="92">
        <f>'B. Activitate de cercetare'!G15</f>
        <v>0</v>
      </c>
      <c r="C54" s="92">
        <f>'B. Activitate de cercetare'!H15</f>
        <v>0</v>
      </c>
    </row>
    <row r="55" spans="1:6" x14ac:dyDescent="0.25">
      <c r="A55" s="238" t="s">
        <v>268</v>
      </c>
      <c r="B55" s="96">
        <f>'B. Activitate de cercetare'!G16</f>
        <v>0</v>
      </c>
      <c r="C55" s="96">
        <f>'B. Activitate de cercetare'!H16</f>
        <v>0</v>
      </c>
    </row>
    <row r="56" spans="1:6" x14ac:dyDescent="0.25">
      <c r="A56" s="238" t="s">
        <v>269</v>
      </c>
      <c r="B56" s="96">
        <f>'B. Activitate de cercetare'!G36</f>
        <v>0</v>
      </c>
      <c r="C56" s="96">
        <f>'B. Activitate de cercetare'!H36</f>
        <v>0</v>
      </c>
    </row>
    <row r="57" spans="1:6" x14ac:dyDescent="0.25">
      <c r="A57" s="240" t="s">
        <v>324</v>
      </c>
      <c r="B57" s="94">
        <f>'B. Activitate de cercetare'!G59</f>
        <v>0</v>
      </c>
      <c r="C57" s="94">
        <f>'B. Activitate de cercetare'!H59</f>
        <v>0</v>
      </c>
    </row>
    <row r="58" spans="1:6" ht="31.5" x14ac:dyDescent="0.25">
      <c r="A58" s="240" t="s">
        <v>271</v>
      </c>
      <c r="B58" s="94">
        <f>'B. Activitate de cercetare'!G62</f>
        <v>0</v>
      </c>
      <c r="C58" s="94">
        <f>'B. Activitate de cercetare'!H62</f>
        <v>0</v>
      </c>
    </row>
    <row r="59" spans="1:6" ht="16.5" thickBot="1" x14ac:dyDescent="0.3">
      <c r="A59" s="240" t="s">
        <v>270</v>
      </c>
      <c r="B59" s="94">
        <f>'B. Activitate de cercetare'!G69</f>
        <v>0</v>
      </c>
      <c r="C59" s="94">
        <f>'B. Activitate de cercetare'!H69</f>
        <v>0</v>
      </c>
    </row>
    <row r="60" spans="1:6" ht="19.5" thickBot="1" x14ac:dyDescent="0.3">
      <c r="A60" s="113" t="s">
        <v>241</v>
      </c>
      <c r="B60" s="102">
        <f>'B. Activitate de cercetare'!G78</f>
        <v>0</v>
      </c>
      <c r="C60" s="102">
        <f>'B. Activitate de cercetare'!H78</f>
        <v>0</v>
      </c>
    </row>
    <row r="61" spans="1:6" x14ac:dyDescent="0.25">
      <c r="A61" s="91" t="s">
        <v>143</v>
      </c>
      <c r="B61" s="92">
        <f>'B. Activitate de cercetare'!G79</f>
        <v>0</v>
      </c>
      <c r="C61" s="92">
        <f>'B. Activitate de cercetare'!H79</f>
        <v>0</v>
      </c>
    </row>
    <row r="62" spans="1:6" x14ac:dyDescent="0.25">
      <c r="A62" s="95" t="s">
        <v>93</v>
      </c>
      <c r="B62" s="96">
        <f>'B. Activitate de cercetare'!G80</f>
        <v>0</v>
      </c>
      <c r="C62" s="96">
        <f>'B. Activitate de cercetare'!H80</f>
        <v>0</v>
      </c>
    </row>
    <row r="63" spans="1:6" x14ac:dyDescent="0.25">
      <c r="A63" s="95" t="s">
        <v>96</v>
      </c>
      <c r="B63" s="96">
        <f>'B. Activitate de cercetare'!G88</f>
        <v>0</v>
      </c>
      <c r="C63" s="96">
        <f>'B. Activitate de cercetare'!H88</f>
        <v>0</v>
      </c>
    </row>
    <row r="64" spans="1:6" x14ac:dyDescent="0.25">
      <c r="A64" s="95" t="s">
        <v>255</v>
      </c>
      <c r="B64" s="96">
        <f>'B. Activitate de cercetare'!G95</f>
        <v>0</v>
      </c>
      <c r="C64" s="96">
        <f>'B. Activitate de cercetare'!H95</f>
        <v>0</v>
      </c>
    </row>
    <row r="65" spans="1:3" ht="31.5" x14ac:dyDescent="0.25">
      <c r="A65" s="97" t="s">
        <v>246</v>
      </c>
      <c r="B65" s="94">
        <f>'B. Activitate de cercetare'!G104</f>
        <v>0</v>
      </c>
      <c r="C65" s="94">
        <f>'B. Activitate de cercetare'!H104</f>
        <v>0</v>
      </c>
    </row>
    <row r="66" spans="1:3" x14ac:dyDescent="0.25">
      <c r="A66" s="95" t="s">
        <v>94</v>
      </c>
      <c r="B66" s="96">
        <f>'B. Activitate de cercetare'!G105</f>
        <v>0</v>
      </c>
      <c r="C66" s="96">
        <f>'B. Activitate de cercetare'!H105</f>
        <v>0</v>
      </c>
    </row>
    <row r="67" spans="1:3" x14ac:dyDescent="0.25">
      <c r="A67" s="95" t="s">
        <v>97</v>
      </c>
      <c r="B67" s="96">
        <f>'B. Activitate de cercetare'!G124</f>
        <v>0</v>
      </c>
      <c r="C67" s="96">
        <f>'B. Activitate de cercetare'!H124</f>
        <v>0</v>
      </c>
    </row>
    <row r="68" spans="1:3" x14ac:dyDescent="0.25">
      <c r="A68" s="95" t="s">
        <v>254</v>
      </c>
      <c r="B68" s="96">
        <f>'B. Activitate de cercetare'!G141</f>
        <v>0</v>
      </c>
      <c r="C68" s="96">
        <f>'B. Activitate de cercetare'!H141</f>
        <v>0</v>
      </c>
    </row>
    <row r="69" spans="1:3" ht="31.5" x14ac:dyDescent="0.25">
      <c r="A69" s="95" t="s">
        <v>432</v>
      </c>
      <c r="B69" s="96">
        <f>'B. Activitate de cercetare'!G156</f>
        <v>0</v>
      </c>
      <c r="C69" s="96">
        <f>'B. Activitate de cercetare'!H156</f>
        <v>0</v>
      </c>
    </row>
    <row r="70" spans="1:3" x14ac:dyDescent="0.25">
      <c r="A70" s="97" t="s">
        <v>142</v>
      </c>
      <c r="B70" s="94">
        <f>'B. Activitate de cercetare'!G157</f>
        <v>0</v>
      </c>
      <c r="C70" s="94">
        <f>'B. Activitate de cercetare'!H157</f>
        <v>0</v>
      </c>
    </row>
    <row r="71" spans="1:3" x14ac:dyDescent="0.25">
      <c r="A71" s="98" t="s">
        <v>108</v>
      </c>
      <c r="B71" s="94">
        <f>'B. Activitate de cercetare'!G158</f>
        <v>0</v>
      </c>
      <c r="C71" s="94">
        <f>'B. Activitate de cercetare'!H158</f>
        <v>0</v>
      </c>
    </row>
    <row r="72" spans="1:3" x14ac:dyDescent="0.25">
      <c r="A72" s="95" t="s">
        <v>94</v>
      </c>
      <c r="B72" s="96">
        <f>'B. Activitate de cercetare'!G159</f>
        <v>0</v>
      </c>
      <c r="C72" s="96">
        <f>'B. Activitate de cercetare'!H159</f>
        <v>0</v>
      </c>
    </row>
    <row r="73" spans="1:3" x14ac:dyDescent="0.25">
      <c r="A73" s="95" t="s">
        <v>97</v>
      </c>
      <c r="B73" s="96">
        <f>'B. Activitate de cercetare'!G168</f>
        <v>0</v>
      </c>
      <c r="C73" s="96">
        <f>'B. Activitate de cercetare'!H168</f>
        <v>0</v>
      </c>
    </row>
    <row r="74" spans="1:3" x14ac:dyDescent="0.25">
      <c r="A74" s="238" t="s">
        <v>325</v>
      </c>
      <c r="B74" s="96">
        <f>'B. Activitate de cercetare'!G179</f>
        <v>0</v>
      </c>
      <c r="C74" s="96">
        <f>'B. Activitate de cercetare'!H179</f>
        <v>0</v>
      </c>
    </row>
    <row r="75" spans="1:3" x14ac:dyDescent="0.25">
      <c r="A75" s="241" t="s">
        <v>326</v>
      </c>
      <c r="B75" s="94">
        <f>'B. Activitate de cercetare'!G189</f>
        <v>0</v>
      </c>
      <c r="C75" s="94">
        <f>'B. Activitate de cercetare'!H189</f>
        <v>0</v>
      </c>
    </row>
    <row r="76" spans="1:3" x14ac:dyDescent="0.25">
      <c r="A76" s="242" t="s">
        <v>98</v>
      </c>
      <c r="B76" s="94">
        <f>'B. Activitate de cercetare'!G190</f>
        <v>0</v>
      </c>
      <c r="C76" s="94">
        <f>'B. Activitate de cercetare'!H190</f>
        <v>0</v>
      </c>
    </row>
    <row r="77" spans="1:3" x14ac:dyDescent="0.25">
      <c r="A77" s="238" t="s">
        <v>99</v>
      </c>
      <c r="B77" s="96">
        <f>'B. Activitate de cercetare'!G191</f>
        <v>0</v>
      </c>
      <c r="C77" s="96">
        <f>'B. Activitate de cercetare'!H191</f>
        <v>0</v>
      </c>
    </row>
    <row r="78" spans="1:3" x14ac:dyDescent="0.25">
      <c r="A78" s="238" t="s">
        <v>100</v>
      </c>
      <c r="B78" s="96">
        <f>'B. Activitate de cercetare'!G199</f>
        <v>0</v>
      </c>
      <c r="C78" s="96">
        <f>'B. Activitate de cercetare'!H199</f>
        <v>0</v>
      </c>
    </row>
    <row r="79" spans="1:3" x14ac:dyDescent="0.25">
      <c r="A79" s="238" t="s">
        <v>327</v>
      </c>
      <c r="B79" s="96">
        <f>'B. Activitate de cercetare'!G209</f>
        <v>0</v>
      </c>
      <c r="C79" s="96">
        <f>'B. Activitate de cercetare'!H209</f>
        <v>0</v>
      </c>
    </row>
    <row r="80" spans="1:3" x14ac:dyDescent="0.25">
      <c r="A80" s="242" t="s">
        <v>101</v>
      </c>
      <c r="B80" s="94">
        <f>'B. Activitate de cercetare'!G218</f>
        <v>0</v>
      </c>
      <c r="C80" s="94">
        <f>'B. Activitate de cercetare'!H218</f>
        <v>0</v>
      </c>
    </row>
    <row r="81" spans="1:3" x14ac:dyDescent="0.25">
      <c r="A81" s="238" t="s">
        <v>121</v>
      </c>
      <c r="B81" s="96">
        <f>'B. Activitate de cercetare'!G219</f>
        <v>0</v>
      </c>
      <c r="C81" s="96">
        <f>'B. Activitate de cercetare'!H219</f>
        <v>0</v>
      </c>
    </row>
    <row r="82" spans="1:3" x14ac:dyDescent="0.25">
      <c r="A82" s="238" t="s">
        <v>328</v>
      </c>
      <c r="B82" s="96">
        <f>'B. Activitate de cercetare'!G228</f>
        <v>0</v>
      </c>
      <c r="C82" s="96">
        <f>'B. Activitate de cercetare'!H228</f>
        <v>0</v>
      </c>
    </row>
    <row r="83" spans="1:3" x14ac:dyDescent="0.25">
      <c r="A83" s="238" t="s">
        <v>329</v>
      </c>
      <c r="B83" s="96">
        <f>'B. Activitate de cercetare'!G239</f>
        <v>0</v>
      </c>
      <c r="C83" s="96">
        <f>'B. Activitate de cercetare'!H239</f>
        <v>0</v>
      </c>
    </row>
    <row r="84" spans="1:3" x14ac:dyDescent="0.25">
      <c r="A84" s="242" t="s">
        <v>250</v>
      </c>
      <c r="B84" s="94">
        <f>'B. Activitate de cercetare'!G249</f>
        <v>0</v>
      </c>
      <c r="C84" s="94">
        <f>'B. Activitate de cercetare'!H249</f>
        <v>0</v>
      </c>
    </row>
    <row r="85" spans="1:3" x14ac:dyDescent="0.25">
      <c r="A85" s="238" t="s">
        <v>122</v>
      </c>
      <c r="B85" s="96">
        <f>'B. Activitate de cercetare'!G250</f>
        <v>0</v>
      </c>
      <c r="C85" s="96">
        <f>'B. Activitate de cercetare'!H250</f>
        <v>0</v>
      </c>
    </row>
    <row r="86" spans="1:3" x14ac:dyDescent="0.25">
      <c r="A86" s="238" t="s">
        <v>330</v>
      </c>
      <c r="B86" s="96">
        <f>'B. Activitate de cercetare'!G261</f>
        <v>0</v>
      </c>
      <c r="C86" s="96">
        <f>'B. Activitate de cercetare'!H261</f>
        <v>0</v>
      </c>
    </row>
    <row r="87" spans="1:3" x14ac:dyDescent="0.25">
      <c r="A87" s="238" t="s">
        <v>331</v>
      </c>
      <c r="B87" s="96">
        <f>'B. Activitate de cercetare'!G276</f>
        <v>0</v>
      </c>
      <c r="C87" s="96">
        <f>'B. Activitate de cercetare'!H276</f>
        <v>0</v>
      </c>
    </row>
    <row r="88" spans="1:3" x14ac:dyDescent="0.25">
      <c r="A88" s="238" t="s">
        <v>332</v>
      </c>
      <c r="B88" s="96">
        <f>'B. Activitate de cercetare'!G287</f>
        <v>0</v>
      </c>
      <c r="C88" s="96">
        <f>'B. Activitate de cercetare'!H287</f>
        <v>0</v>
      </c>
    </row>
    <row r="89" spans="1:3" x14ac:dyDescent="0.25">
      <c r="A89" s="93" t="s">
        <v>242</v>
      </c>
      <c r="B89" s="94">
        <f>'B. Activitate de cercetare'!G297</f>
        <v>0</v>
      </c>
      <c r="C89" s="94">
        <f>'B. Activitate de cercetare'!H297</f>
        <v>0</v>
      </c>
    </row>
    <row r="90" spans="1:3" x14ac:dyDescent="0.25">
      <c r="A90" s="95" t="s">
        <v>144</v>
      </c>
      <c r="B90" s="96">
        <f>'B. Activitate de cercetare'!G298</f>
        <v>0</v>
      </c>
      <c r="C90" s="96">
        <f>'B. Activitate de cercetare'!H298</f>
        <v>0</v>
      </c>
    </row>
    <row r="91" spans="1:3" x14ac:dyDescent="0.25">
      <c r="A91" s="238" t="s">
        <v>333</v>
      </c>
      <c r="B91" s="96">
        <f>'B. Activitate de cercetare'!G307</f>
        <v>0</v>
      </c>
      <c r="C91" s="96">
        <f>'B. Activitate de cercetare'!H307</f>
        <v>0</v>
      </c>
    </row>
    <row r="92" spans="1:3" x14ac:dyDescent="0.25">
      <c r="A92" s="238" t="s">
        <v>334</v>
      </c>
      <c r="B92" s="96">
        <f>'B. Activitate de cercetare'!G317</f>
        <v>0</v>
      </c>
      <c r="C92" s="96">
        <f>'B. Activitate de cercetare'!H317</f>
        <v>0</v>
      </c>
    </row>
    <row r="93" spans="1:3" x14ac:dyDescent="0.25">
      <c r="A93" s="242" t="s">
        <v>243</v>
      </c>
      <c r="B93" s="94">
        <f>'B. Activitate de cercetare'!G327</f>
        <v>0</v>
      </c>
      <c r="C93" s="94">
        <f>'B. Activitate de cercetare'!H327</f>
        <v>0</v>
      </c>
    </row>
    <row r="94" spans="1:3" x14ac:dyDescent="0.25">
      <c r="A94" s="238" t="s">
        <v>99</v>
      </c>
      <c r="B94" s="96">
        <f>'B. Activitate de cercetare'!G328</f>
        <v>0</v>
      </c>
      <c r="C94" s="96">
        <f>'B. Activitate de cercetare'!H328</f>
        <v>0</v>
      </c>
    </row>
    <row r="95" spans="1:3" x14ac:dyDescent="0.25">
      <c r="A95" s="238" t="s">
        <v>102</v>
      </c>
      <c r="B95" s="96">
        <f>'B. Activitate de cercetare'!G338</f>
        <v>0</v>
      </c>
      <c r="C95" s="96">
        <f>'B. Activitate de cercetare'!H338</f>
        <v>0</v>
      </c>
    </row>
    <row r="96" spans="1:3" x14ac:dyDescent="0.25">
      <c r="A96" s="238" t="s">
        <v>335</v>
      </c>
      <c r="B96" s="96">
        <f>'B. Activitate de cercetare'!G348</f>
        <v>0</v>
      </c>
      <c r="C96" s="96">
        <f>'B. Activitate de cercetare'!H348</f>
        <v>0</v>
      </c>
    </row>
    <row r="97" spans="1:3" ht="31.5" x14ac:dyDescent="0.25">
      <c r="A97" s="240" t="s">
        <v>336</v>
      </c>
      <c r="B97" s="94">
        <f>'B. Activitate de cercetare'!G358</f>
        <v>0</v>
      </c>
      <c r="C97" s="94">
        <f>'B. Activitate de cercetare'!H358</f>
        <v>0</v>
      </c>
    </row>
    <row r="98" spans="1:3" x14ac:dyDescent="0.25">
      <c r="A98" s="238" t="s">
        <v>103</v>
      </c>
      <c r="B98" s="96">
        <f>'B. Activitate de cercetare'!G359</f>
        <v>0</v>
      </c>
      <c r="C98" s="96">
        <f>'B. Activitate de cercetare'!H359</f>
        <v>0</v>
      </c>
    </row>
    <row r="99" spans="1:3" x14ac:dyDescent="0.25">
      <c r="A99" s="238" t="s">
        <v>104</v>
      </c>
      <c r="B99" s="96">
        <f>'B. Activitate de cercetare'!G370</f>
        <v>0</v>
      </c>
      <c r="C99" s="96">
        <f>'B. Activitate de cercetare'!H370</f>
        <v>0</v>
      </c>
    </row>
    <row r="100" spans="1:3" x14ac:dyDescent="0.25">
      <c r="A100" s="238" t="s">
        <v>337</v>
      </c>
      <c r="B100" s="96">
        <f>'B. Activitate de cercetare'!G382</f>
        <v>0</v>
      </c>
      <c r="C100" s="96">
        <f>'B. Activitate de cercetare'!H382</f>
        <v>0</v>
      </c>
    </row>
    <row r="101" spans="1:3" x14ac:dyDescent="0.25">
      <c r="A101" s="240" t="s">
        <v>338</v>
      </c>
      <c r="B101" s="94">
        <f>'B. Activitate de cercetare'!G394</f>
        <v>0</v>
      </c>
      <c r="C101" s="94">
        <f>'B. Activitate de cercetare'!H394</f>
        <v>0</v>
      </c>
    </row>
    <row r="102" spans="1:3" x14ac:dyDescent="0.25">
      <c r="A102" s="238" t="s">
        <v>94</v>
      </c>
      <c r="B102" s="96">
        <f>'B. Activitate de cercetare'!G395</f>
        <v>0</v>
      </c>
      <c r="C102" s="96">
        <f>'B. Activitate de cercetare'!H395</f>
        <v>0</v>
      </c>
    </row>
    <row r="103" spans="1:3" x14ac:dyDescent="0.25">
      <c r="A103" s="238" t="s">
        <v>105</v>
      </c>
      <c r="B103" s="96">
        <f>'B. Activitate de cercetare'!G404</f>
        <v>0</v>
      </c>
      <c r="C103" s="96">
        <f>'B. Activitate de cercetare'!H404</f>
        <v>0</v>
      </c>
    </row>
    <row r="104" spans="1:3" ht="16.5" thickBot="1" x14ac:dyDescent="0.3">
      <c r="A104" s="243" t="s">
        <v>339</v>
      </c>
      <c r="B104" s="99">
        <f>'B. Activitate de cercetare'!G414</f>
        <v>0</v>
      </c>
      <c r="C104" s="99">
        <f>'B. Activitate de cercetare'!H414</f>
        <v>0</v>
      </c>
    </row>
    <row r="105" spans="1:3" ht="32.25" thickBot="1" x14ac:dyDescent="0.3">
      <c r="A105" s="100" t="s">
        <v>249</v>
      </c>
      <c r="B105" s="101"/>
      <c r="C105" s="102">
        <f>'B. Activitate de cercetare'!H424</f>
        <v>0</v>
      </c>
    </row>
    <row r="106" spans="1:3" ht="32.25" thickBot="1" x14ac:dyDescent="0.3">
      <c r="A106" s="91" t="s">
        <v>272</v>
      </c>
      <c r="B106" s="92">
        <f>'B. Activitate de cercetare'!G425</f>
        <v>0</v>
      </c>
      <c r="C106" s="92">
        <f>'B. Activitate de cercetare'!H425</f>
        <v>0</v>
      </c>
    </row>
    <row r="107" spans="1:3" ht="16.5" thickBot="1" x14ac:dyDescent="0.3">
      <c r="A107" s="100" t="s">
        <v>90</v>
      </c>
      <c r="B107" s="102">
        <f>'B. Activitate de cercetare'!G457</f>
        <v>0</v>
      </c>
      <c r="C107" s="102">
        <f>'B. Activitate de cercetare'!H457</f>
        <v>0</v>
      </c>
    </row>
    <row r="108" spans="1:3" x14ac:dyDescent="0.25">
      <c r="A108" s="115" t="s">
        <v>150</v>
      </c>
      <c r="B108" s="116">
        <f>'B. Activitate de cercetare'!G458</f>
        <v>0</v>
      </c>
      <c r="C108" s="116">
        <f>'B. Activitate de cercetare'!H458</f>
        <v>0</v>
      </c>
    </row>
    <row r="109" spans="1:3" x14ac:dyDescent="0.25">
      <c r="A109" s="95" t="s">
        <v>145</v>
      </c>
      <c r="B109" s="96">
        <f>'B. Activitate de cercetare'!G463</f>
        <v>0</v>
      </c>
      <c r="C109" s="96">
        <f>'B. Activitate de cercetare'!H463</f>
        <v>0</v>
      </c>
    </row>
    <row r="110" spans="1:3" ht="16.5" thickBot="1" x14ac:dyDescent="0.3">
      <c r="A110" s="114" t="s">
        <v>146</v>
      </c>
      <c r="B110" s="99">
        <f>'B. Activitate de cercetare'!G468</f>
        <v>0</v>
      </c>
      <c r="C110" s="99">
        <f>'B. Activitate de cercetare'!H468</f>
        <v>0</v>
      </c>
    </row>
    <row r="111" spans="1:3" ht="16.5" thickBot="1" x14ac:dyDescent="0.3">
      <c r="A111" s="100" t="s">
        <v>91</v>
      </c>
      <c r="B111" s="102">
        <f>'B. Activitate de cercetare'!G473</f>
        <v>0</v>
      </c>
      <c r="C111" s="102">
        <f>'B. Activitate de cercetare'!H473</f>
        <v>0</v>
      </c>
    </row>
    <row r="112" spans="1:3" x14ac:dyDescent="0.25">
      <c r="A112" s="115" t="s">
        <v>149</v>
      </c>
      <c r="B112" s="116">
        <f>'B. Activitate de cercetare'!G474</f>
        <v>0</v>
      </c>
      <c r="C112" s="116">
        <f>'B. Activitate de cercetare'!H474</f>
        <v>0</v>
      </c>
    </row>
    <row r="113" spans="1:5" ht="16.5" thickBot="1" x14ac:dyDescent="0.3">
      <c r="A113" s="114" t="s">
        <v>147</v>
      </c>
      <c r="B113" s="99">
        <f>'B. Activitate de cercetare'!G482</f>
        <v>0</v>
      </c>
      <c r="C113" s="99">
        <f>'B. Activitate de cercetare'!H482</f>
        <v>0</v>
      </c>
    </row>
    <row r="114" spans="1:5" ht="16.5" thickBot="1" x14ac:dyDescent="0.3">
      <c r="A114" s="100" t="s">
        <v>92</v>
      </c>
      <c r="B114" s="102">
        <f>'B. Activitate de cercetare'!G487</f>
        <v>0</v>
      </c>
      <c r="C114" s="102">
        <f>'B. Activitate de cercetare'!H487</f>
        <v>0</v>
      </c>
    </row>
    <row r="115" spans="1:5" x14ac:dyDescent="0.25">
      <c r="A115" s="95" t="s">
        <v>110</v>
      </c>
      <c r="B115" s="92">
        <f>B116+B117</f>
        <v>0</v>
      </c>
      <c r="C115" s="92">
        <f>C116+C117</f>
        <v>0</v>
      </c>
    </row>
    <row r="116" spans="1:5" ht="25.5" customHeight="1" x14ac:dyDescent="0.25">
      <c r="A116" s="95" t="s">
        <v>151</v>
      </c>
      <c r="B116" s="96">
        <f>'B. Activitate de cercetare'!G489</f>
        <v>0</v>
      </c>
      <c r="C116" s="96">
        <f>'B. Activitate de cercetare'!H489</f>
        <v>0</v>
      </c>
    </row>
    <row r="117" spans="1:5" ht="16.5" thickBot="1" x14ac:dyDescent="0.3">
      <c r="A117" s="114" t="s">
        <v>148</v>
      </c>
      <c r="B117" s="99">
        <f>'B. Activitate de cercetare'!G494</f>
        <v>0</v>
      </c>
      <c r="C117" s="99">
        <f>'B. Activitate de cercetare'!H494</f>
        <v>0</v>
      </c>
    </row>
    <row r="118" spans="1:5" ht="32.25" thickBot="1" x14ac:dyDescent="0.3">
      <c r="A118" s="244" t="s">
        <v>421</v>
      </c>
      <c r="B118" s="296">
        <f>'B. Activitate de cercetare'!E500</f>
        <v>0</v>
      </c>
      <c r="C118" s="296">
        <f>'B. Activitate de cercetare'!G500</f>
        <v>0</v>
      </c>
    </row>
    <row r="119" spans="1:5" x14ac:dyDescent="0.25">
      <c r="A119" s="289" t="s">
        <v>260</v>
      </c>
      <c r="B119" s="297">
        <f>'B. Activitate de cercetare'!E501</f>
        <v>0</v>
      </c>
      <c r="C119" s="300">
        <f>'B. Activitate de cercetare'!G501</f>
        <v>0</v>
      </c>
    </row>
    <row r="120" spans="1:5" x14ac:dyDescent="0.25">
      <c r="A120" s="238" t="s">
        <v>261</v>
      </c>
      <c r="B120" s="298">
        <f>'B. Activitate de cercetare'!E516</f>
        <v>0</v>
      </c>
      <c r="C120" s="299">
        <f>'B. Activitate de cercetare'!G516</f>
        <v>0</v>
      </c>
    </row>
    <row r="121" spans="1:5" ht="16.5" thickBot="1" x14ac:dyDescent="0.3">
      <c r="A121" s="238" t="s">
        <v>155</v>
      </c>
      <c r="B121" s="298">
        <f>'B. Activitate de cercetare'!E535</f>
        <v>0</v>
      </c>
      <c r="C121" s="299">
        <f>'B. Activitate de cercetare'!G535</f>
        <v>0</v>
      </c>
    </row>
    <row r="122" spans="1:5" ht="20.25" thickTop="1" thickBot="1" x14ac:dyDescent="0.3">
      <c r="A122" s="104" t="s">
        <v>427</v>
      </c>
      <c r="B122" s="117"/>
      <c r="C122" s="106">
        <f>'C. Prestigiu profesional'!E12</f>
        <v>0</v>
      </c>
    </row>
    <row r="123" spans="1:5" ht="16.5" thickBot="1" x14ac:dyDescent="0.3">
      <c r="A123" s="100" t="s">
        <v>423</v>
      </c>
      <c r="B123" s="102">
        <f>'C. Prestigiu profesional'!D13</f>
        <v>0</v>
      </c>
      <c r="C123" s="102">
        <f>'C. Prestigiu profesional'!E13</f>
        <v>0</v>
      </c>
    </row>
    <row r="124" spans="1:5" x14ac:dyDescent="0.25">
      <c r="A124" s="115" t="s">
        <v>152</v>
      </c>
      <c r="B124" s="116">
        <f>'C. Prestigiu profesional'!D14</f>
        <v>0</v>
      </c>
      <c r="C124" s="116">
        <f>'C. Prestigiu profesional'!E14</f>
        <v>0</v>
      </c>
      <c r="E124" t="s">
        <v>123</v>
      </c>
    </row>
    <row r="125" spans="1:5" x14ac:dyDescent="0.25">
      <c r="A125" s="95" t="s">
        <v>276</v>
      </c>
      <c r="B125" s="96">
        <f>'C. Prestigiu profesional'!D18</f>
        <v>0</v>
      </c>
      <c r="C125" s="96">
        <f>'C. Prestigiu profesional'!E18</f>
        <v>0</v>
      </c>
    </row>
    <row r="126" spans="1:5" ht="32.25" thickBot="1" x14ac:dyDescent="0.3">
      <c r="A126" s="114" t="s">
        <v>153</v>
      </c>
      <c r="B126" s="99">
        <f>'C. Prestigiu profesional'!D22</f>
        <v>0</v>
      </c>
      <c r="C126" s="99">
        <f>'C. Prestigiu profesional'!E22</f>
        <v>0</v>
      </c>
    </row>
    <row r="127" spans="1:5" ht="32.25" thickBot="1" x14ac:dyDescent="0.3">
      <c r="A127" s="100" t="s">
        <v>424</v>
      </c>
      <c r="B127" s="102">
        <f>'C. Prestigiu profesional'!D26</f>
        <v>0</v>
      </c>
      <c r="C127" s="102">
        <f>'C. Prestigiu profesional'!E26</f>
        <v>0</v>
      </c>
    </row>
    <row r="128" spans="1:5" ht="20.25" customHeight="1" x14ac:dyDescent="0.25">
      <c r="A128" s="115" t="s">
        <v>273</v>
      </c>
      <c r="B128" s="116">
        <f>'C. Prestigiu profesional'!D27</f>
        <v>0</v>
      </c>
      <c r="C128" s="116">
        <f>'C. Prestigiu profesional'!E27</f>
        <v>0</v>
      </c>
    </row>
    <row r="129" spans="1:3" ht="16.5" thickBot="1" x14ac:dyDescent="0.3">
      <c r="A129" s="114" t="s">
        <v>274</v>
      </c>
      <c r="B129" s="99">
        <f>'C. Prestigiu profesional'!D33</f>
        <v>0</v>
      </c>
      <c r="C129" s="99">
        <f>'C. Prestigiu profesional'!E33</f>
        <v>0</v>
      </c>
    </row>
    <row r="130" spans="1:3" ht="32.25" thickBot="1" x14ac:dyDescent="0.3">
      <c r="A130" s="100" t="s">
        <v>482</v>
      </c>
      <c r="B130" s="102">
        <f>'C. Prestigiu profesional'!D39</f>
        <v>0</v>
      </c>
      <c r="C130" s="102">
        <f>'C. Prestigiu profesional'!E39</f>
        <v>0</v>
      </c>
    </row>
    <row r="131" spans="1:3" x14ac:dyDescent="0.25">
      <c r="A131" s="115" t="s">
        <v>154</v>
      </c>
      <c r="B131" s="116">
        <f>'C. Prestigiu profesional'!D40</f>
        <v>0</v>
      </c>
      <c r="C131" s="116">
        <f>'C. Prestigiu profesional'!E40</f>
        <v>0</v>
      </c>
    </row>
    <row r="132" spans="1:3" ht="16.5" thickBot="1" x14ac:dyDescent="0.3">
      <c r="A132" s="114" t="s">
        <v>106</v>
      </c>
      <c r="B132" s="99">
        <f>'C. Prestigiu profesional'!D46</f>
        <v>0</v>
      </c>
      <c r="C132" s="99">
        <f>'C. Prestigiu profesional'!E46</f>
        <v>0</v>
      </c>
    </row>
    <row r="133" spans="1:3" ht="16.5" thickBot="1" x14ac:dyDescent="0.3">
      <c r="A133" s="100" t="s">
        <v>425</v>
      </c>
      <c r="B133" s="102">
        <f>'C. Prestigiu profesional'!D52</f>
        <v>0</v>
      </c>
      <c r="C133" s="102">
        <f>'C. Prestigiu profesional'!E52</f>
        <v>0</v>
      </c>
    </row>
    <row r="134" spans="1:3" x14ac:dyDescent="0.25">
      <c r="A134" s="115" t="s">
        <v>275</v>
      </c>
      <c r="B134" s="116">
        <f>'C. Prestigiu profesional'!D53</f>
        <v>0</v>
      </c>
      <c r="C134" s="116">
        <f>'C. Prestigiu profesional'!E53</f>
        <v>0</v>
      </c>
    </row>
    <row r="135" spans="1:3" x14ac:dyDescent="0.25">
      <c r="A135" s="265" t="s">
        <v>340</v>
      </c>
      <c r="B135" s="130">
        <f>'C. Prestigiu profesional'!D59</f>
        <v>0</v>
      </c>
      <c r="C135" s="264">
        <f>'C. Prestigiu profesional'!E59</f>
        <v>0</v>
      </c>
    </row>
    <row r="136" spans="1:3" ht="17.25" customHeight="1" x14ac:dyDescent="0.25">
      <c r="A136" s="265" t="s">
        <v>485</v>
      </c>
      <c r="B136" s="130">
        <f>'C. Prestigiu profesional'!D65</f>
        <v>0</v>
      </c>
      <c r="C136" s="264">
        <f>'C. Prestigiu profesional'!E65</f>
        <v>0</v>
      </c>
    </row>
    <row r="137" spans="1:3" ht="16.5" thickBot="1" x14ac:dyDescent="0.3">
      <c r="A137" s="266" t="s">
        <v>395</v>
      </c>
      <c r="B137" s="129">
        <f>'C. Prestigiu profesional'!D71</f>
        <v>0</v>
      </c>
      <c r="C137" s="264">
        <f>'C. Prestigiu profesional'!E71</f>
        <v>0</v>
      </c>
    </row>
    <row r="138" spans="1:3" ht="16.5" thickBot="1" x14ac:dyDescent="0.3">
      <c r="A138" s="244" t="s">
        <v>426</v>
      </c>
      <c r="B138" s="101" t="s">
        <v>77</v>
      </c>
      <c r="C138" s="102">
        <f>'C. Prestigiu profesional'!E77</f>
        <v>0</v>
      </c>
    </row>
    <row r="139" spans="1:3" x14ac:dyDescent="0.25">
      <c r="A139" s="115" t="s">
        <v>291</v>
      </c>
      <c r="B139" s="118">
        <f>'C. Prestigiu profesional'!B78</f>
        <v>0</v>
      </c>
      <c r="C139" s="116">
        <f>'C. Prestigiu profesional'!E78</f>
        <v>0</v>
      </c>
    </row>
    <row r="140" spans="1:3" x14ac:dyDescent="0.25">
      <c r="A140" s="95" t="s">
        <v>289</v>
      </c>
      <c r="B140" s="119">
        <f>'C. Prestigiu profesional'!B79</f>
        <v>0</v>
      </c>
      <c r="C140" s="96">
        <f>'C. Prestigiu profesional'!E79</f>
        <v>0</v>
      </c>
    </row>
    <row r="141" spans="1:3" ht="16.5" thickBot="1" x14ac:dyDescent="0.3">
      <c r="A141" s="114" t="s">
        <v>290</v>
      </c>
      <c r="B141" s="120">
        <f>'C. Prestigiu profesional'!B80</f>
        <v>0</v>
      </c>
      <c r="C141" s="99">
        <f>'C. Prestigiu profesional'!E80</f>
        <v>0</v>
      </c>
    </row>
    <row r="142" spans="1:3" ht="16.5" thickBot="1" x14ac:dyDescent="0.3">
      <c r="A142" s="290" t="s">
        <v>483</v>
      </c>
      <c r="B142" s="102">
        <f>'C. Prestigiu profesional'!C81</f>
        <v>0</v>
      </c>
      <c r="C142" s="102">
        <f>'C. Prestigiu profesional'!E81</f>
        <v>0</v>
      </c>
    </row>
    <row r="143" spans="1:3" x14ac:dyDescent="0.25">
      <c r="A143" s="122" t="s">
        <v>157</v>
      </c>
      <c r="B143" s="128">
        <f>'C. Prestigiu profesional'!C82</f>
        <v>0</v>
      </c>
      <c r="C143" s="155">
        <f>'C. Prestigiu profesional'!E82</f>
        <v>0</v>
      </c>
    </row>
    <row r="144" spans="1:3" ht="16.5" thickBot="1" x14ac:dyDescent="0.3">
      <c r="A144" s="123" t="s">
        <v>158</v>
      </c>
      <c r="B144" s="129">
        <f>'C. Prestigiu profesional'!C82</f>
        <v>0</v>
      </c>
      <c r="C144" s="156">
        <f>'C. Prestigiu profesional'!E82</f>
        <v>0</v>
      </c>
    </row>
    <row r="145" spans="1:3" ht="32.25" thickBot="1" x14ac:dyDescent="0.3">
      <c r="A145" s="291" t="s">
        <v>484</v>
      </c>
      <c r="B145" s="130">
        <f>'C. Prestigiu profesional'!C108</f>
        <v>0</v>
      </c>
      <c r="C145" s="96">
        <f>'C. Prestigiu profesional'!E108</f>
        <v>0</v>
      </c>
    </row>
    <row r="146" spans="1:3" ht="16.5" thickBot="1" x14ac:dyDescent="0.3">
      <c r="A146" s="121" t="s">
        <v>156</v>
      </c>
      <c r="B146" s="124"/>
      <c r="C146" s="102">
        <f>'C. Prestigiu profesional'!E114</f>
        <v>0</v>
      </c>
    </row>
    <row r="147" spans="1:3" ht="16.5" thickBot="1" x14ac:dyDescent="0.3">
      <c r="A147" s="125" t="s">
        <v>468</v>
      </c>
      <c r="B147" s="131"/>
      <c r="C147" s="133">
        <f>'C. Prestigiu profesional'!E115</f>
        <v>0</v>
      </c>
    </row>
    <row r="148" spans="1:3" x14ac:dyDescent="0.25">
      <c r="A148" s="115" t="s">
        <v>486</v>
      </c>
      <c r="B148" s="130">
        <f>'C. Prestigiu profesional'!D116</f>
        <v>0</v>
      </c>
      <c r="C148" s="132">
        <f>'C. Prestigiu profesional'!E116</f>
        <v>0</v>
      </c>
    </row>
    <row r="149" spans="1:3" ht="16.5" thickBot="1" x14ac:dyDescent="0.3">
      <c r="A149" s="95" t="s">
        <v>487</v>
      </c>
      <c r="B149" s="130">
        <f>'C. Prestigiu profesional'!D120</f>
        <v>0</v>
      </c>
      <c r="C149" s="135">
        <f>'C. Prestigiu profesional'!E120</f>
        <v>0</v>
      </c>
    </row>
    <row r="150" spans="1:3" ht="78" customHeight="1" thickBot="1" x14ac:dyDescent="0.3">
      <c r="A150" s="93" t="s">
        <v>467</v>
      </c>
      <c r="B150" s="134"/>
      <c r="C150" s="133">
        <f>'C. Prestigiu profesional'!E124</f>
        <v>0</v>
      </c>
    </row>
    <row r="151" spans="1:3" ht="32.25" thickBot="1" x14ac:dyDescent="0.3">
      <c r="A151" s="93" t="s">
        <v>466</v>
      </c>
      <c r="B151" s="136">
        <f>'C. Prestigiu profesional'!D131</f>
        <v>0</v>
      </c>
      <c r="C151" s="133">
        <f>'C. Prestigiu profesional'!E131</f>
        <v>0</v>
      </c>
    </row>
    <row r="152" spans="1:3" x14ac:dyDescent="0.25">
      <c r="A152" s="95" t="s">
        <v>457</v>
      </c>
      <c r="B152" s="130"/>
      <c r="C152" s="132">
        <f>'C. Prestigiu profesional'!E132</f>
        <v>0</v>
      </c>
    </row>
    <row r="153" spans="1:3" ht="16.5" thickBot="1" x14ac:dyDescent="0.3">
      <c r="A153" s="95" t="s">
        <v>458</v>
      </c>
      <c r="B153" s="130"/>
      <c r="C153" s="135">
        <f>'C. Prestigiu profesional'!E138</f>
        <v>0</v>
      </c>
    </row>
    <row r="154" spans="1:3" ht="16.5" thickBot="1" x14ac:dyDescent="0.3">
      <c r="A154" s="93" t="s">
        <v>465</v>
      </c>
      <c r="B154" s="136">
        <f>'C. Prestigiu profesional'!D144</f>
        <v>0</v>
      </c>
      <c r="C154" s="133">
        <f>'C. Prestigiu profesional'!E144</f>
        <v>0</v>
      </c>
    </row>
    <row r="155" spans="1:3" x14ac:dyDescent="0.25">
      <c r="A155" s="95" t="s">
        <v>459</v>
      </c>
      <c r="B155" s="130"/>
      <c r="C155" s="132">
        <f>'C. Prestigiu profesional'!E145</f>
        <v>0</v>
      </c>
    </row>
    <row r="156" spans="1:3" ht="16.5" thickBot="1" x14ac:dyDescent="0.3">
      <c r="A156" s="95" t="s">
        <v>460</v>
      </c>
      <c r="B156" s="130"/>
      <c r="C156" s="135">
        <f>'C. Prestigiu profesional'!E150</f>
        <v>0</v>
      </c>
    </row>
    <row r="157" spans="1:3" ht="16.5" thickBot="1" x14ac:dyDescent="0.3">
      <c r="A157" s="242" t="s">
        <v>464</v>
      </c>
      <c r="B157" s="136">
        <f>'C. Prestigiu profesional'!D155</f>
        <v>0</v>
      </c>
      <c r="C157" s="133">
        <f>'C. Prestigiu profesional'!E155</f>
        <v>0</v>
      </c>
    </row>
    <row r="158" spans="1:3" ht="16.5" thickBot="1" x14ac:dyDescent="0.3">
      <c r="A158" s="93" t="s">
        <v>463</v>
      </c>
      <c r="B158" s="136">
        <f>'C. Prestigiu profesional'!D157</f>
        <v>0</v>
      </c>
      <c r="C158" s="133">
        <f>'C. Prestigiu profesional'!E157</f>
        <v>0</v>
      </c>
    </row>
    <row r="159" spans="1:3" ht="19.5" customHeight="1" thickBot="1" x14ac:dyDescent="0.3">
      <c r="A159" s="93" t="s">
        <v>469</v>
      </c>
      <c r="B159" s="136">
        <f>'C. Prestigiu profesional'!D160</f>
        <v>0</v>
      </c>
      <c r="C159" s="133">
        <f>'C. Prestigiu profesional'!E160</f>
        <v>0</v>
      </c>
    </row>
    <row r="160" spans="1:3" ht="16.5" thickBot="1" x14ac:dyDescent="0.3">
      <c r="A160" s="245" t="s">
        <v>258</v>
      </c>
      <c r="B160" s="136"/>
      <c r="C160" s="147">
        <f>'C. Prestigiu profesional'!E165</f>
        <v>0</v>
      </c>
    </row>
    <row r="161" spans="1:3" ht="16.5" thickBot="1" x14ac:dyDescent="0.3">
      <c r="A161" s="245" t="s">
        <v>341</v>
      </c>
      <c r="B161" s="136"/>
      <c r="C161" s="147">
        <f>'C. Prestigiu profesional'!E167</f>
        <v>0</v>
      </c>
    </row>
    <row r="162" spans="1:3" ht="16.5" thickBot="1" x14ac:dyDescent="0.3">
      <c r="A162" s="245" t="s">
        <v>259</v>
      </c>
      <c r="B162" s="136"/>
      <c r="C162" s="133">
        <f>'C. Prestigiu profesional'!E169</f>
        <v>0</v>
      </c>
    </row>
    <row r="163" spans="1:3" x14ac:dyDescent="0.25">
      <c r="A163" s="246" t="s">
        <v>342</v>
      </c>
      <c r="B163" s="136"/>
      <c r="C163" s="149">
        <f>'C. Prestigiu profesional'!E170</f>
        <v>0</v>
      </c>
    </row>
    <row r="164" spans="1:3" x14ac:dyDescent="0.25">
      <c r="A164" s="246" t="s">
        <v>343</v>
      </c>
      <c r="B164" s="136"/>
      <c r="C164" s="148">
        <f>'C. Prestigiu profesional'!E171</f>
        <v>0</v>
      </c>
    </row>
    <row r="165" spans="1:3" ht="16.5" thickBot="1" x14ac:dyDescent="0.3">
      <c r="A165" s="247" t="s">
        <v>344</v>
      </c>
      <c r="B165" s="151"/>
      <c r="C165" s="150">
        <f>'C. Prestigiu profesional'!E172</f>
        <v>0</v>
      </c>
    </row>
    <row r="166" spans="1:3" ht="16.5" thickBot="1" x14ac:dyDescent="0.3">
      <c r="A166" s="245" t="s">
        <v>488</v>
      </c>
      <c r="B166" s="136"/>
      <c r="C166" s="133">
        <f>'C. Prestigiu profesional'!E173</f>
        <v>0</v>
      </c>
    </row>
    <row r="167" spans="1:3" ht="16.5" thickBot="1" x14ac:dyDescent="0.3">
      <c r="A167" s="245" t="s">
        <v>277</v>
      </c>
      <c r="B167" s="136"/>
      <c r="C167" s="133">
        <f>'C. Prestigiu profesional'!E175</f>
        <v>0</v>
      </c>
    </row>
    <row r="168" spans="1:3" ht="16.5" thickBot="1" x14ac:dyDescent="0.3">
      <c r="A168" s="246" t="s">
        <v>489</v>
      </c>
      <c r="B168" s="148"/>
      <c r="C168" s="150">
        <f>'C. Prestigiu profesional'!E176</f>
        <v>0</v>
      </c>
    </row>
    <row r="169" spans="1:3" ht="16.5" thickBot="1" x14ac:dyDescent="0.3">
      <c r="A169" s="248" t="s">
        <v>452</v>
      </c>
      <c r="B169" s="136"/>
      <c r="C169" s="133">
        <f>'C. Prestigiu profesional'!E177</f>
        <v>0</v>
      </c>
    </row>
    <row r="170" spans="1:3" ht="32.25" thickBot="1" x14ac:dyDescent="0.3">
      <c r="A170" s="242" t="s">
        <v>462</v>
      </c>
      <c r="B170" s="136">
        <f>'C. Prestigiu profesional'!D179</f>
        <v>0</v>
      </c>
      <c r="C170" s="133">
        <f>'C. Prestigiu profesional'!E179</f>
        <v>0</v>
      </c>
    </row>
    <row r="171" spans="1:3" ht="16.5" thickBot="1" x14ac:dyDescent="0.3">
      <c r="A171" s="242" t="s">
        <v>461</v>
      </c>
      <c r="B171" s="136">
        <f>'C. Prestigiu profesional'!D183</f>
        <v>0</v>
      </c>
      <c r="C171" s="133">
        <f>'C. Prestigiu profesional'!E183</f>
        <v>0</v>
      </c>
    </row>
    <row r="172" spans="1:3" x14ac:dyDescent="0.25">
      <c r="A172" s="238" t="s">
        <v>278</v>
      </c>
      <c r="B172" s="130">
        <f>'C. Prestigiu profesional'!D184</f>
        <v>0</v>
      </c>
      <c r="C172" s="132">
        <f>'C. Prestigiu profesional'!E184</f>
        <v>0</v>
      </c>
    </row>
    <row r="173" spans="1:3" ht="15.75" customHeight="1" thickBot="1" x14ac:dyDescent="0.3">
      <c r="A173" s="243" t="s">
        <v>345</v>
      </c>
      <c r="B173" s="135">
        <f>'C. Prestigiu profesional'!D195</f>
        <v>0</v>
      </c>
      <c r="C173" s="135">
        <f>'C. Prestigiu profesional'!E195</f>
        <v>0</v>
      </c>
    </row>
    <row r="174" spans="1:3" ht="15.75" customHeight="1" thickBot="1" x14ac:dyDescent="0.3">
      <c r="A174" s="292" t="s">
        <v>442</v>
      </c>
      <c r="B174" s="273"/>
      <c r="C174" s="294">
        <f>C14+C51</f>
        <v>0</v>
      </c>
    </row>
    <row r="175" spans="1:3" ht="17.25" thickTop="1" thickBot="1" x14ac:dyDescent="0.3">
      <c r="A175" s="293" t="s">
        <v>70</v>
      </c>
      <c r="B175" s="274"/>
      <c r="C175" s="295">
        <f>C122+C51+C14</f>
        <v>0</v>
      </c>
    </row>
    <row r="176" spans="1:3" x14ac:dyDescent="0.25">
      <c r="A176" s="67"/>
    </row>
    <row r="177" spans="1:3" x14ac:dyDescent="0.25">
      <c r="A177" s="320">
        <f>IF(C174=0,0,IF(C174&gt;=800,"CRITERIUL A+B &gt;=800 INDEPLINIT","CRITERIUL A+B&gt;=800 NEINDEPLINIT"))</f>
        <v>0</v>
      </c>
      <c r="B177" s="320"/>
      <c r="C177" s="320"/>
    </row>
    <row r="178" spans="1:3" x14ac:dyDescent="0.25">
      <c r="A178" s="321">
        <f>IF(C175=0,0,IF(C175&gt;=1000,"CRITERIUL A+B+C &gt;=1000 INDEPLINIT","CRITERIUL A+B+C&gt;=1000 NEINDEPLINIT"))</f>
        <v>0</v>
      </c>
      <c r="B178" s="321"/>
      <c r="C178" s="321"/>
    </row>
    <row r="179" spans="1:3" x14ac:dyDescent="0.25">
      <c r="A179" s="271"/>
      <c r="B179" s="270"/>
    </row>
    <row r="180" spans="1:3" ht="145.5" customHeight="1" x14ac:dyDescent="0.25">
      <c r="A180" s="314" t="s">
        <v>317</v>
      </c>
      <c r="B180" s="314"/>
      <c r="C180" s="314"/>
    </row>
    <row r="181" spans="1:3" ht="43.5" customHeight="1" x14ac:dyDescent="0.25">
      <c r="A181" s="314" t="s">
        <v>253</v>
      </c>
      <c r="B181" s="314"/>
      <c r="C181" s="314"/>
    </row>
    <row r="182" spans="1:3" x14ac:dyDescent="0.25">
      <c r="A182" s="314" t="s">
        <v>251</v>
      </c>
      <c r="B182" s="314"/>
      <c r="C182" s="314"/>
    </row>
    <row r="183" spans="1:3" ht="31.5" customHeight="1" x14ac:dyDescent="0.25">
      <c r="A183" s="314" t="s">
        <v>439</v>
      </c>
      <c r="B183" s="314"/>
      <c r="C183" s="314"/>
    </row>
    <row r="184" spans="1:3" ht="47.25" customHeight="1" x14ac:dyDescent="0.25">
      <c r="A184" s="319" t="s">
        <v>481</v>
      </c>
      <c r="B184" s="319"/>
      <c r="C184" s="319"/>
    </row>
    <row r="185" spans="1:3" x14ac:dyDescent="0.25">
      <c r="A185" s="314" t="s">
        <v>310</v>
      </c>
      <c r="B185" s="314"/>
      <c r="C185" s="314"/>
    </row>
    <row r="186" spans="1:3" ht="47.25" customHeight="1" x14ac:dyDescent="0.25">
      <c r="A186" s="314" t="s">
        <v>311</v>
      </c>
      <c r="B186" s="314"/>
      <c r="C186" s="314"/>
    </row>
    <row r="187" spans="1:3" x14ac:dyDescent="0.25">
      <c r="A187" s="314" t="s">
        <v>312</v>
      </c>
      <c r="B187" s="314"/>
      <c r="C187" s="314"/>
    </row>
    <row r="188" spans="1:3" x14ac:dyDescent="0.25">
      <c r="A188" s="314" t="s">
        <v>313</v>
      </c>
      <c r="B188" s="314"/>
      <c r="C188" s="314"/>
    </row>
    <row r="189" spans="1:3" x14ac:dyDescent="0.25">
      <c r="A189" s="314" t="s">
        <v>319</v>
      </c>
      <c r="B189" s="314"/>
      <c r="C189" s="314"/>
    </row>
    <row r="190" spans="1:3" x14ac:dyDescent="0.25">
      <c r="A190" s="314" t="s">
        <v>314</v>
      </c>
      <c r="B190" s="314"/>
      <c r="C190" s="314"/>
    </row>
    <row r="191" spans="1:3" ht="31.5" customHeight="1" x14ac:dyDescent="0.25">
      <c r="A191" s="314" t="s">
        <v>318</v>
      </c>
      <c r="B191" s="314"/>
      <c r="C191" s="314"/>
    </row>
    <row r="192" spans="1:3" x14ac:dyDescent="0.25">
      <c r="A192" s="314" t="s">
        <v>315</v>
      </c>
      <c r="B192" s="314"/>
      <c r="C192" s="314"/>
    </row>
    <row r="193" spans="1:3" x14ac:dyDescent="0.25">
      <c r="A193" s="314" t="s">
        <v>320</v>
      </c>
      <c r="B193" s="314"/>
      <c r="C193" s="314"/>
    </row>
    <row r="194" spans="1:3" x14ac:dyDescent="0.25">
      <c r="A194" s="314" t="s">
        <v>321</v>
      </c>
      <c r="B194" s="314"/>
      <c r="C194" s="314"/>
    </row>
    <row r="195" spans="1:3" x14ac:dyDescent="0.25">
      <c r="A195" s="314" t="s">
        <v>316</v>
      </c>
      <c r="B195" s="314"/>
      <c r="C195" s="314"/>
    </row>
    <row r="196" spans="1:3" x14ac:dyDescent="0.25">
      <c r="A196" s="237"/>
      <c r="B196" s="237"/>
      <c r="C196" s="237"/>
    </row>
    <row r="197" spans="1:3" x14ac:dyDescent="0.25">
      <c r="A197" s="314" t="s">
        <v>252</v>
      </c>
      <c r="B197" s="314"/>
      <c r="C197" s="314"/>
    </row>
    <row r="198" spans="1:3" x14ac:dyDescent="0.25">
      <c r="A198" s="143"/>
    </row>
    <row r="199" spans="1:3" x14ac:dyDescent="0.25">
      <c r="A199" s="315" t="s">
        <v>443</v>
      </c>
      <c r="B199" s="315"/>
      <c r="C199" s="315"/>
    </row>
    <row r="203" spans="1:3" x14ac:dyDescent="0.25">
      <c r="A203" s="2" t="s">
        <v>490</v>
      </c>
    </row>
    <row r="206" spans="1:3" x14ac:dyDescent="0.25">
      <c r="A206" s="2" t="s">
        <v>491</v>
      </c>
    </row>
    <row r="208" spans="1:3" ht="31.5" x14ac:dyDescent="0.25">
      <c r="A208" s="2" t="s">
        <v>492</v>
      </c>
    </row>
    <row r="223" spans="6:6" x14ac:dyDescent="0.25">
      <c r="F223" s="272"/>
    </row>
    <row r="226" spans="7:7" x14ac:dyDescent="0.25">
      <c r="G226" s="301">
        <v>44487</v>
      </c>
    </row>
  </sheetData>
  <sheetProtection password="CBBD" sheet="1" objects="1" scenarios="1"/>
  <dataConsolidate/>
  <mergeCells count="31">
    <mergeCell ref="A5:C5"/>
    <mergeCell ref="A10:C10"/>
    <mergeCell ref="A8:C8"/>
    <mergeCell ref="A2:C2"/>
    <mergeCell ref="A1:C1"/>
    <mergeCell ref="A3:C3"/>
    <mergeCell ref="A4:C4"/>
    <mergeCell ref="A6:C6"/>
    <mergeCell ref="A7:C7"/>
    <mergeCell ref="A186:C186"/>
    <mergeCell ref="A180:C180"/>
    <mergeCell ref="A181:C181"/>
    <mergeCell ref="A12:C12"/>
    <mergeCell ref="A11:C11"/>
    <mergeCell ref="A182:C182"/>
    <mergeCell ref="A183:C183"/>
    <mergeCell ref="A184:C184"/>
    <mergeCell ref="A185:C185"/>
    <mergeCell ref="A177:C177"/>
    <mergeCell ref="A178:C178"/>
    <mergeCell ref="A199:C199"/>
    <mergeCell ref="A192:C192"/>
    <mergeCell ref="A193:C193"/>
    <mergeCell ref="A194:C194"/>
    <mergeCell ref="A195:C195"/>
    <mergeCell ref="A197:C197"/>
    <mergeCell ref="A187:C187"/>
    <mergeCell ref="A188:C188"/>
    <mergeCell ref="A189:C189"/>
    <mergeCell ref="A190:C190"/>
    <mergeCell ref="A191:C191"/>
  </mergeCells>
  <dataValidations count="1">
    <dataValidation allowBlank="1" showErrorMessage="1" sqref="A8:C8"/>
  </dataValidations>
  <pageMargins left="0.11811023622047245" right="0.11811023622047245" top="0.15748031496062992" bottom="0.15748031496062992" header="0.11811023622047245" footer="0.1181102362204724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tare Facultate" prompt="Utilizeaza sageata din dreapta celulei">
          <x14:formula1>
            <xm:f>Sheet1!$B$3:$B$6</xm:f>
          </x14:formula1>
          <xm:sqref>A3</xm:sqref>
        </x14:dataValidation>
        <x14:dataValidation type="list" allowBlank="1" showInputMessage="1" showErrorMessage="1" promptTitle="Selectare Departament" prompt="Utilizeaza sageata din dreapta celulei">
          <x14:formula1>
            <xm:f>Sheet1!$B$9:$B$19</xm:f>
          </x14:formula1>
          <xm:sqref>A4</xm:sqref>
        </x14:dataValidation>
        <x14:dataValidation type="list" allowBlank="1" showInputMessage="1" showErrorMessage="1" promptTitle="Selectare Functia didactica" prompt="Utilizeaza sageata din dreapta celulei">
          <x14:formula1>
            <xm:f>Sheet1!$B$22:$B$26</xm:f>
          </x14:formula1>
          <xm:sqref>A7:C7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8"/>
  <sheetViews>
    <sheetView workbookViewId="0">
      <selection activeCell="J17" sqref="J17"/>
    </sheetView>
  </sheetViews>
  <sheetFormatPr defaultRowHeight="15" x14ac:dyDescent="0.25"/>
  <cols>
    <col min="1" max="1" width="7.42578125" style="36" customWidth="1"/>
    <col min="2" max="2" width="8.5703125" style="36" customWidth="1"/>
    <col min="3" max="3" width="68.140625" style="36" customWidth="1"/>
    <col min="4" max="5" width="9.7109375" style="36" customWidth="1"/>
    <col min="6" max="6" width="11.140625" style="36" customWidth="1"/>
    <col min="7" max="7" width="7.42578125" style="36" customWidth="1"/>
    <col min="8" max="8" width="8.5703125" style="169" bestFit="1" customWidth="1"/>
    <col min="9" max="10" width="9.140625" style="36"/>
    <col min="11" max="11" width="31.7109375" style="36" customWidth="1"/>
    <col min="12" max="16384" width="9.140625" style="36"/>
  </cols>
  <sheetData>
    <row r="1" spans="1:12" ht="15.75" x14ac:dyDescent="0.25">
      <c r="A1" s="338" t="str">
        <f>'fisa word'!A1:C1</f>
        <v>UNIVERSITATEA PENTRU STIINTELE VIETII "ION IONESCU DE LA BRAD" IASI</v>
      </c>
      <c r="B1" s="338"/>
      <c r="C1" s="338"/>
      <c r="D1" s="338"/>
      <c r="E1" s="338"/>
      <c r="F1" s="338"/>
      <c r="G1" s="338"/>
      <c r="H1" s="338"/>
    </row>
    <row r="2" spans="1:12" ht="15.75" x14ac:dyDescent="0.25">
      <c r="A2" s="268"/>
      <c r="B2" s="268"/>
      <c r="C2" s="268"/>
      <c r="D2" s="268"/>
      <c r="E2" s="268"/>
      <c r="F2" s="268"/>
      <c r="G2" s="268"/>
      <c r="H2" s="268"/>
    </row>
    <row r="3" spans="1:12" ht="15.75" x14ac:dyDescent="0.25">
      <c r="A3" s="339">
        <f>'fisa word'!A3:C3</f>
        <v>0</v>
      </c>
      <c r="B3" s="339"/>
      <c r="C3" s="339"/>
      <c r="D3" s="339"/>
      <c r="E3" s="339"/>
      <c r="F3" s="339"/>
      <c r="G3" s="339"/>
      <c r="H3" s="339"/>
    </row>
    <row r="4" spans="1:12" ht="15.75" x14ac:dyDescent="0.25">
      <c r="A4" s="339">
        <f>'fisa word'!A4:C4</f>
        <v>0</v>
      </c>
      <c r="B4" s="339"/>
      <c r="C4" s="339"/>
      <c r="D4" s="339"/>
      <c r="E4" s="339"/>
      <c r="F4" s="339"/>
      <c r="G4" s="339"/>
      <c r="H4" s="339"/>
    </row>
    <row r="5" spans="1:12" ht="15.75" x14ac:dyDescent="0.25">
      <c r="A5" s="268"/>
      <c r="B5" s="268"/>
      <c r="C5" s="268"/>
      <c r="D5" s="268"/>
      <c r="E5" s="268"/>
      <c r="F5" s="268"/>
      <c r="G5" s="268"/>
      <c r="H5" s="268"/>
    </row>
    <row r="6" spans="1:12" ht="15.75" x14ac:dyDescent="0.25">
      <c r="A6" s="338" t="str">
        <f>'fisa word'!A6:C6</f>
        <v>NUME PRENUME</v>
      </c>
      <c r="B6" s="338"/>
      <c r="C6" s="338"/>
      <c r="D6" s="338"/>
      <c r="E6" s="338"/>
      <c r="F6" s="338"/>
      <c r="G6" s="338"/>
      <c r="H6" s="338"/>
    </row>
    <row r="7" spans="1:12" ht="16.5" thickBot="1" x14ac:dyDescent="0.3">
      <c r="A7" s="339">
        <f>'fisa word'!A7:C7</f>
        <v>0</v>
      </c>
      <c r="B7" s="339"/>
      <c r="C7" s="339"/>
      <c r="D7" s="339"/>
      <c r="E7" s="339"/>
      <c r="F7" s="339"/>
      <c r="G7" s="339"/>
      <c r="H7" s="339"/>
    </row>
    <row r="8" spans="1:12" ht="16.5" thickBot="1" x14ac:dyDescent="0.3">
      <c r="A8" s="235"/>
      <c r="B8" s="234"/>
      <c r="C8" s="233"/>
      <c r="D8" s="164" t="s">
        <v>0</v>
      </c>
      <c r="F8" s="164"/>
      <c r="G8" s="166">
        <f>'fisa word'!H9</f>
        <v>5</v>
      </c>
      <c r="H8" s="165" t="s">
        <v>1</v>
      </c>
    </row>
    <row r="9" spans="1:12" ht="18.75" x14ac:dyDescent="0.3">
      <c r="A9" s="164"/>
      <c r="B9" s="164"/>
      <c r="C9" s="163"/>
      <c r="D9" s="164"/>
      <c r="E9" s="164"/>
      <c r="F9" s="164"/>
      <c r="G9" s="164"/>
      <c r="H9" s="165"/>
    </row>
    <row r="10" spans="1:12" ht="30.75" thickBot="1" x14ac:dyDescent="0.3">
      <c r="A10" s="343" t="s">
        <v>2</v>
      </c>
      <c r="B10" s="344"/>
      <c r="C10" s="55" t="s">
        <v>111</v>
      </c>
      <c r="D10" s="56" t="s">
        <v>161</v>
      </c>
      <c r="E10" s="57"/>
      <c r="F10" s="58" t="s">
        <v>10</v>
      </c>
      <c r="G10" s="58" t="s">
        <v>8</v>
      </c>
      <c r="H10" s="59" t="s">
        <v>11</v>
      </c>
      <c r="K10" s="80" t="s">
        <v>163</v>
      </c>
    </row>
    <row r="11" spans="1:12" ht="31.5" thickTop="1" thickBot="1" x14ac:dyDescent="0.3">
      <c r="A11" s="88" t="s">
        <v>3</v>
      </c>
      <c r="B11" s="30"/>
      <c r="C11" s="30"/>
      <c r="D11" s="30"/>
      <c r="E11" s="24"/>
      <c r="F11" s="24"/>
      <c r="G11" s="24"/>
      <c r="H11" s="60">
        <f>35*(H12+H153)/100</f>
        <v>0</v>
      </c>
      <c r="K11" s="228" t="s">
        <v>164</v>
      </c>
      <c r="L11" s="229"/>
    </row>
    <row r="12" spans="1:12" ht="21" customHeight="1" thickTop="1" thickBot="1" x14ac:dyDescent="0.3">
      <c r="A12" s="87" t="s">
        <v>4</v>
      </c>
      <c r="B12" s="31"/>
      <c r="C12" s="31"/>
      <c r="D12" s="31"/>
      <c r="E12" s="32"/>
      <c r="F12" s="32"/>
      <c r="G12" s="32">
        <f>G13+G61+G80</f>
        <v>0</v>
      </c>
      <c r="H12" s="138">
        <f>H129+H130</f>
        <v>0</v>
      </c>
      <c r="K12" s="228" t="s">
        <v>160</v>
      </c>
      <c r="L12" s="230"/>
    </row>
    <row r="13" spans="1:12" ht="15" customHeight="1" thickBot="1" x14ac:dyDescent="0.3">
      <c r="A13" s="351" t="s">
        <v>12</v>
      </c>
      <c r="B13" s="23" t="s">
        <v>14</v>
      </c>
      <c r="C13" s="24"/>
      <c r="D13" s="24"/>
      <c r="E13" s="24"/>
      <c r="F13" s="24"/>
      <c r="G13" s="24">
        <f>G14+G42</f>
        <v>0</v>
      </c>
      <c r="H13" s="60">
        <f>H14+H42</f>
        <v>0</v>
      </c>
      <c r="K13" s="36" t="s">
        <v>165</v>
      </c>
      <c r="L13" s="231">
        <f>L11*L12/3139</f>
        <v>0</v>
      </c>
    </row>
    <row r="14" spans="1:12" ht="15" customHeight="1" thickBot="1" x14ac:dyDescent="0.3">
      <c r="A14" s="349"/>
      <c r="B14" s="355" t="s">
        <v>5</v>
      </c>
      <c r="C14" s="21" t="s">
        <v>167</v>
      </c>
      <c r="D14" s="21"/>
      <c r="E14" s="21"/>
      <c r="F14" s="34"/>
      <c r="G14" s="35">
        <f>G15+G21</f>
        <v>0</v>
      </c>
      <c r="H14" s="69">
        <f>H15+H21+H32</f>
        <v>0</v>
      </c>
    </row>
    <row r="15" spans="1:12" ht="15.75" thickBot="1" x14ac:dyDescent="0.3">
      <c r="A15" s="349"/>
      <c r="B15" s="356"/>
      <c r="C15" s="22" t="s">
        <v>166</v>
      </c>
      <c r="F15" s="22"/>
      <c r="G15" s="34">
        <f>COUNTIF(D17:D20,"nu")</f>
        <v>0</v>
      </c>
      <c r="H15" s="37">
        <f>SUMIF(D17:D20,"NU",H17:H20)</f>
        <v>0</v>
      </c>
    </row>
    <row r="16" spans="1:12" ht="15.75" thickBot="1" x14ac:dyDescent="0.3">
      <c r="A16" s="349"/>
      <c r="B16" s="356"/>
      <c r="C16" s="22" t="s">
        <v>169</v>
      </c>
      <c r="D16" s="38" t="s">
        <v>162</v>
      </c>
      <c r="E16" s="22" t="s">
        <v>9</v>
      </c>
      <c r="F16" s="22"/>
      <c r="G16" s="34">
        <f>COUNTIF(D17:D20,"da")</f>
        <v>0</v>
      </c>
      <c r="H16" s="39">
        <f>SUMIF(D17:D20,"DA",H17:H20)</f>
        <v>0</v>
      </c>
    </row>
    <row r="17" spans="1:10" x14ac:dyDescent="0.25">
      <c r="A17" s="349"/>
      <c r="B17" s="356"/>
      <c r="C17" s="29"/>
      <c r="D17" s="40"/>
      <c r="E17" s="29"/>
      <c r="F17" s="22"/>
      <c r="G17" s="22"/>
      <c r="H17" s="41">
        <f xml:space="preserve"> 2*E17</f>
        <v>0</v>
      </c>
    </row>
    <row r="18" spans="1:10" x14ac:dyDescent="0.25">
      <c r="A18" s="349"/>
      <c r="B18" s="356"/>
      <c r="C18" s="29"/>
      <c r="D18" s="40"/>
      <c r="E18" s="29"/>
      <c r="F18" s="22"/>
      <c r="G18" s="22"/>
      <c r="H18" s="41">
        <f xml:space="preserve"> 2*E18</f>
        <v>0</v>
      </c>
    </row>
    <row r="19" spans="1:10" x14ac:dyDescent="0.25">
      <c r="A19" s="349"/>
      <c r="B19" s="356"/>
      <c r="C19" s="29"/>
      <c r="D19" s="40"/>
      <c r="E19" s="29"/>
      <c r="F19" s="22"/>
      <c r="G19" s="22"/>
      <c r="H19" s="41">
        <f xml:space="preserve"> 2*E19</f>
        <v>0</v>
      </c>
      <c r="J19" s="169"/>
    </row>
    <row r="20" spans="1:10" ht="15.75" thickBot="1" x14ac:dyDescent="0.3">
      <c r="A20" s="349"/>
      <c r="B20" s="356"/>
      <c r="C20" s="29"/>
      <c r="D20" s="40"/>
      <c r="E20" s="29"/>
      <c r="F20" s="22"/>
      <c r="G20" s="42"/>
      <c r="H20" s="33">
        <f xml:space="preserve"> 2*E20</f>
        <v>0</v>
      </c>
      <c r="J20" s="169"/>
    </row>
    <row r="21" spans="1:10" x14ac:dyDescent="0.25">
      <c r="A21" s="349"/>
      <c r="B21" s="356"/>
      <c r="C21" s="22" t="s">
        <v>170</v>
      </c>
      <c r="D21" s="38"/>
      <c r="E21" s="22"/>
      <c r="F21" s="43"/>
      <c r="G21" s="44">
        <f>COUNTIF(D23:D31,"nu")</f>
        <v>0</v>
      </c>
      <c r="H21" s="45">
        <f>SUMIF(D23:D31,"NU",H23:H31)</f>
        <v>0</v>
      </c>
    </row>
    <row r="22" spans="1:10" ht="15.75" thickBot="1" x14ac:dyDescent="0.3">
      <c r="A22" s="349"/>
      <c r="B22" s="356"/>
      <c r="C22" s="22" t="s">
        <v>171</v>
      </c>
      <c r="D22" s="38" t="s">
        <v>162</v>
      </c>
      <c r="E22" s="22" t="s">
        <v>9</v>
      </c>
      <c r="F22" s="43" t="s">
        <v>10</v>
      </c>
      <c r="G22" s="46">
        <f>COUNTIF(D23:D31,"da")</f>
        <v>0</v>
      </c>
      <c r="H22" s="47">
        <f>SUMIF(D23:D31,"DA",H23:H31)</f>
        <v>0</v>
      </c>
    </row>
    <row r="23" spans="1:10" x14ac:dyDescent="0.25">
      <c r="A23" s="349"/>
      <c r="B23" s="356"/>
      <c r="C23" s="29"/>
      <c r="D23" s="63"/>
      <c r="E23" s="63"/>
      <c r="F23" s="63"/>
      <c r="G23" s="21"/>
      <c r="H23" s="41">
        <f>IF(F23=0,0,(2*E23)/(F23))</f>
        <v>0</v>
      </c>
    </row>
    <row r="24" spans="1:10" x14ac:dyDescent="0.25">
      <c r="A24" s="349"/>
      <c r="B24" s="356"/>
      <c r="C24" s="29"/>
      <c r="D24" s="63"/>
      <c r="E24" s="63"/>
      <c r="F24" s="63"/>
      <c r="G24" s="22"/>
      <c r="H24" s="41">
        <f>IF(F24=0,0,(2*E24)/(F24))</f>
        <v>0</v>
      </c>
    </row>
    <row r="25" spans="1:10" x14ac:dyDescent="0.25">
      <c r="A25" s="349"/>
      <c r="B25" s="356"/>
      <c r="C25" s="29"/>
      <c r="D25" s="63"/>
      <c r="E25" s="63"/>
      <c r="F25" s="63"/>
      <c r="G25" s="22"/>
      <c r="H25" s="41">
        <f t="shared" ref="H25:H30" si="0">IF(F25=0,0,(2*E25)/(F25))</f>
        <v>0</v>
      </c>
    </row>
    <row r="26" spans="1:10" x14ac:dyDescent="0.25">
      <c r="A26" s="349"/>
      <c r="B26" s="356"/>
      <c r="C26" s="29"/>
      <c r="D26" s="63"/>
      <c r="E26" s="63"/>
      <c r="F26" s="63"/>
      <c r="G26" s="22"/>
      <c r="H26" s="41">
        <f t="shared" si="0"/>
        <v>0</v>
      </c>
    </row>
    <row r="27" spans="1:10" x14ac:dyDescent="0.25">
      <c r="A27" s="349"/>
      <c r="B27" s="356"/>
      <c r="C27" s="29"/>
      <c r="D27" s="63"/>
      <c r="E27" s="63"/>
      <c r="F27" s="63"/>
      <c r="G27" s="22"/>
      <c r="H27" s="41">
        <f t="shared" si="0"/>
        <v>0</v>
      </c>
    </row>
    <row r="28" spans="1:10" x14ac:dyDescent="0.25">
      <c r="A28" s="349"/>
      <c r="B28" s="356"/>
      <c r="C28" s="29"/>
      <c r="D28" s="63"/>
      <c r="E28" s="63"/>
      <c r="F28" s="63"/>
      <c r="G28" s="22"/>
      <c r="H28" s="41">
        <f t="shared" si="0"/>
        <v>0</v>
      </c>
    </row>
    <row r="29" spans="1:10" x14ac:dyDescent="0.25">
      <c r="A29" s="349"/>
      <c r="B29" s="356"/>
      <c r="C29" s="29"/>
      <c r="D29" s="63"/>
      <c r="E29" s="63"/>
      <c r="F29" s="63"/>
      <c r="G29" s="22"/>
      <c r="H29" s="41">
        <f t="shared" si="0"/>
        <v>0</v>
      </c>
    </row>
    <row r="30" spans="1:10" x14ac:dyDescent="0.25">
      <c r="A30" s="349"/>
      <c r="B30" s="356"/>
      <c r="C30" s="29"/>
      <c r="D30" s="63"/>
      <c r="E30" s="63"/>
      <c r="F30" s="63"/>
      <c r="G30" s="22"/>
      <c r="H30" s="41">
        <f t="shared" si="0"/>
        <v>0</v>
      </c>
    </row>
    <row r="31" spans="1:10" ht="15.75" thickBot="1" x14ac:dyDescent="0.3">
      <c r="A31" s="349"/>
      <c r="B31" s="356"/>
      <c r="C31" s="29"/>
      <c r="D31" s="63"/>
      <c r="E31" s="63"/>
      <c r="F31" s="63"/>
      <c r="G31" s="22"/>
      <c r="H31" s="41">
        <f>IF(F31=0,0,(2*E31)/(F31))</f>
        <v>0</v>
      </c>
    </row>
    <row r="32" spans="1:10" x14ac:dyDescent="0.25">
      <c r="A32" s="349"/>
      <c r="B32" s="356"/>
      <c r="C32" s="22" t="s">
        <v>387</v>
      </c>
      <c r="D32" s="38"/>
      <c r="E32" s="22"/>
      <c r="F32" s="22"/>
      <c r="G32" s="44">
        <f>COUNTIF(D34:D41,"nu")</f>
        <v>0</v>
      </c>
      <c r="H32" s="45">
        <f>SUMIF(D34:D41,"NU",H34:H41)</f>
        <v>0</v>
      </c>
    </row>
    <row r="33" spans="1:8" ht="15.75" thickBot="1" x14ac:dyDescent="0.3">
      <c r="A33" s="349"/>
      <c r="B33" s="356"/>
      <c r="C33" s="22" t="s">
        <v>389</v>
      </c>
      <c r="D33" s="38" t="s">
        <v>162</v>
      </c>
      <c r="E33" s="22" t="s">
        <v>71</v>
      </c>
      <c r="F33" s="22"/>
      <c r="G33" s="46">
        <f>COUNTIF(D34:D41,"da")</f>
        <v>0</v>
      </c>
      <c r="H33" s="47">
        <f>SUMIF(D34:D41,"DA",H34:H41)</f>
        <v>0</v>
      </c>
    </row>
    <row r="34" spans="1:8" x14ac:dyDescent="0.25">
      <c r="A34" s="349"/>
      <c r="B34" s="356"/>
      <c r="C34" s="29"/>
      <c r="D34" s="63"/>
      <c r="E34" s="63"/>
      <c r="F34" s="64"/>
      <c r="G34" s="22"/>
      <c r="H34" s="41">
        <f>E34*25/100</f>
        <v>0</v>
      </c>
    </row>
    <row r="35" spans="1:8" x14ac:dyDescent="0.25">
      <c r="A35" s="349"/>
      <c r="B35" s="356"/>
      <c r="C35" s="29"/>
      <c r="D35" s="63"/>
      <c r="E35" s="63"/>
      <c r="F35" s="64"/>
      <c r="G35" s="42"/>
      <c r="H35" s="41">
        <f t="shared" ref="H35:H41" si="1">E35*25/100</f>
        <v>0</v>
      </c>
    </row>
    <row r="36" spans="1:8" x14ac:dyDescent="0.25">
      <c r="A36" s="349"/>
      <c r="B36" s="356"/>
      <c r="C36" s="29"/>
      <c r="D36" s="63"/>
      <c r="E36" s="63"/>
      <c r="F36" s="64"/>
      <c r="G36" s="42"/>
      <c r="H36" s="41">
        <f t="shared" si="1"/>
        <v>0</v>
      </c>
    </row>
    <row r="37" spans="1:8" x14ac:dyDescent="0.25">
      <c r="A37" s="349"/>
      <c r="B37" s="356"/>
      <c r="C37" s="29"/>
      <c r="D37" s="63"/>
      <c r="E37" s="63"/>
      <c r="F37" s="64"/>
      <c r="G37" s="42"/>
      <c r="H37" s="41">
        <f t="shared" si="1"/>
        <v>0</v>
      </c>
    </row>
    <row r="38" spans="1:8" x14ac:dyDescent="0.25">
      <c r="A38" s="349"/>
      <c r="B38" s="356"/>
      <c r="C38" s="29"/>
      <c r="D38" s="63"/>
      <c r="E38" s="63"/>
      <c r="F38" s="64"/>
      <c r="G38" s="42"/>
      <c r="H38" s="41">
        <f t="shared" si="1"/>
        <v>0</v>
      </c>
    </row>
    <row r="39" spans="1:8" x14ac:dyDescent="0.25">
      <c r="A39" s="349"/>
      <c r="B39" s="356"/>
      <c r="C39" s="29"/>
      <c r="D39" s="63"/>
      <c r="E39" s="63"/>
      <c r="F39" s="64"/>
      <c r="G39" s="42"/>
      <c r="H39" s="41">
        <f t="shared" si="1"/>
        <v>0</v>
      </c>
    </row>
    <row r="40" spans="1:8" x14ac:dyDescent="0.25">
      <c r="A40" s="349"/>
      <c r="B40" s="356"/>
      <c r="C40" s="29"/>
      <c r="D40" s="63"/>
      <c r="E40" s="63"/>
      <c r="F40" s="64"/>
      <c r="G40" s="42"/>
      <c r="H40" s="41">
        <f t="shared" si="1"/>
        <v>0</v>
      </c>
    </row>
    <row r="41" spans="1:8" ht="15.75" thickBot="1" x14ac:dyDescent="0.3">
      <c r="A41" s="349"/>
      <c r="B41" s="357"/>
      <c r="C41" s="29"/>
      <c r="D41" s="63"/>
      <c r="E41" s="63"/>
      <c r="F41" s="64"/>
      <c r="G41" s="42"/>
      <c r="H41" s="41">
        <f t="shared" si="1"/>
        <v>0</v>
      </c>
    </row>
    <row r="42" spans="1:8" ht="15" customHeight="1" thickBot="1" x14ac:dyDescent="0.3">
      <c r="A42" s="349"/>
      <c r="B42" s="359" t="s">
        <v>6</v>
      </c>
      <c r="C42" s="22" t="s">
        <v>7</v>
      </c>
      <c r="D42" s="22"/>
      <c r="E42" s="22"/>
      <c r="F42" s="43"/>
      <c r="G42" s="23">
        <f>G43+G49</f>
        <v>0</v>
      </c>
      <c r="H42" s="60">
        <f>H43+H49+H55</f>
        <v>0</v>
      </c>
    </row>
    <row r="43" spans="1:8" x14ac:dyDescent="0.25">
      <c r="A43" s="349"/>
      <c r="B43" s="360"/>
      <c r="C43" s="22" t="s">
        <v>172</v>
      </c>
      <c r="D43" s="38"/>
      <c r="E43" s="22"/>
      <c r="F43" s="22"/>
      <c r="G43" s="44">
        <f>COUNTIF(D45:D48,"nu")</f>
        <v>0</v>
      </c>
      <c r="H43" s="45">
        <f>SUMIF(D45:D48,"NU",H45:H48)</f>
        <v>0</v>
      </c>
    </row>
    <row r="44" spans="1:8" ht="15.75" thickBot="1" x14ac:dyDescent="0.3">
      <c r="A44" s="349"/>
      <c r="B44" s="360"/>
      <c r="C44" s="22" t="s">
        <v>173</v>
      </c>
      <c r="D44" s="38" t="s">
        <v>162</v>
      </c>
      <c r="E44" s="22" t="s">
        <v>9</v>
      </c>
      <c r="F44" s="22"/>
      <c r="G44" s="46">
        <f>COUNTIF(D45:D48,"da")</f>
        <v>0</v>
      </c>
      <c r="H44" s="47">
        <f>SUMIF(D45:D48,"DA",H45:H48)</f>
        <v>0</v>
      </c>
    </row>
    <row r="45" spans="1:8" x14ac:dyDescent="0.25">
      <c r="A45" s="349"/>
      <c r="B45" s="360"/>
      <c r="C45" s="29"/>
      <c r="D45" s="63"/>
      <c r="E45" s="63"/>
      <c r="F45" s="22"/>
      <c r="G45" s="22"/>
      <c r="H45" s="41">
        <f>(4*E45)</f>
        <v>0</v>
      </c>
    </row>
    <row r="46" spans="1:8" x14ac:dyDescent="0.25">
      <c r="A46" s="349"/>
      <c r="B46" s="360"/>
      <c r="C46" s="29"/>
      <c r="D46" s="63"/>
      <c r="E46" s="63"/>
      <c r="F46" s="22"/>
      <c r="G46" s="22"/>
      <c r="H46" s="41">
        <f>(4*E46)</f>
        <v>0</v>
      </c>
    </row>
    <row r="47" spans="1:8" x14ac:dyDescent="0.25">
      <c r="A47" s="349"/>
      <c r="B47" s="360"/>
      <c r="C47" s="29"/>
      <c r="D47" s="63"/>
      <c r="E47" s="63"/>
      <c r="F47" s="22"/>
      <c r="G47" s="22"/>
      <c r="H47" s="41">
        <f>(4*E47)</f>
        <v>0</v>
      </c>
    </row>
    <row r="48" spans="1:8" ht="15.75" thickBot="1" x14ac:dyDescent="0.3">
      <c r="A48" s="349"/>
      <c r="B48" s="360"/>
      <c r="C48" s="29"/>
      <c r="D48" s="63"/>
      <c r="E48" s="63"/>
      <c r="F48" s="22"/>
      <c r="G48" s="22"/>
      <c r="H48" s="41">
        <f>(4*E48)</f>
        <v>0</v>
      </c>
    </row>
    <row r="49" spans="1:8" x14ac:dyDescent="0.25">
      <c r="A49" s="349"/>
      <c r="B49" s="360"/>
      <c r="C49" s="22" t="s">
        <v>174</v>
      </c>
      <c r="D49" s="38"/>
      <c r="E49" s="22"/>
      <c r="F49" s="22"/>
      <c r="G49" s="44">
        <f>COUNTIF(D51:D54,"nu")</f>
        <v>0</v>
      </c>
      <c r="H49" s="45">
        <f>SUMIF(D51:D54,"NU",H51:H54)</f>
        <v>0</v>
      </c>
    </row>
    <row r="50" spans="1:8" ht="15.75" thickBot="1" x14ac:dyDescent="0.3">
      <c r="A50" s="349"/>
      <c r="B50" s="360"/>
      <c r="C50" s="22" t="s">
        <v>175</v>
      </c>
      <c r="D50" s="38" t="s">
        <v>162</v>
      </c>
      <c r="E50" s="22" t="s">
        <v>9</v>
      </c>
      <c r="F50" s="22" t="s">
        <v>10</v>
      </c>
      <c r="G50" s="46">
        <f>COUNTIF(D51:D54,"da")</f>
        <v>0</v>
      </c>
      <c r="H50" s="47">
        <f>SUMIF(D51:D54,"DA",H51:H54)</f>
        <v>0</v>
      </c>
    </row>
    <row r="51" spans="1:8" x14ac:dyDescent="0.25">
      <c r="A51" s="349"/>
      <c r="B51" s="360"/>
      <c r="C51" s="29"/>
      <c r="D51" s="63"/>
      <c r="E51" s="63"/>
      <c r="F51" s="63"/>
      <c r="G51" s="22"/>
      <c r="H51" s="41">
        <f>IF(F51=0,0,(4*E51)/(F51))</f>
        <v>0</v>
      </c>
    </row>
    <row r="52" spans="1:8" x14ac:dyDescent="0.25">
      <c r="A52" s="349"/>
      <c r="B52" s="360"/>
      <c r="C52" s="29"/>
      <c r="D52" s="63"/>
      <c r="E52" s="63"/>
      <c r="F52" s="63"/>
      <c r="G52" s="22"/>
      <c r="H52" s="41">
        <f>IF(F52=0,0,(4*E52)/(F52))</f>
        <v>0</v>
      </c>
    </row>
    <row r="53" spans="1:8" x14ac:dyDescent="0.25">
      <c r="A53" s="349"/>
      <c r="B53" s="360"/>
      <c r="C53" s="29"/>
      <c r="D53" s="63"/>
      <c r="E53" s="63"/>
      <c r="F53" s="63"/>
      <c r="G53" s="22"/>
      <c r="H53" s="41">
        <f>IF(F53=0,0,(4*E53)/(F53))</f>
        <v>0</v>
      </c>
    </row>
    <row r="54" spans="1:8" ht="15.75" thickBot="1" x14ac:dyDescent="0.3">
      <c r="A54" s="349"/>
      <c r="B54" s="360"/>
      <c r="C54" s="29"/>
      <c r="D54" s="63"/>
      <c r="E54" s="63"/>
      <c r="F54" s="63"/>
      <c r="G54" s="22"/>
      <c r="H54" s="41">
        <f>IF(F54=0,0,(4*E54)/(F54))</f>
        <v>0</v>
      </c>
    </row>
    <row r="55" spans="1:8" x14ac:dyDescent="0.25">
      <c r="A55" s="349"/>
      <c r="B55" s="360"/>
      <c r="C55" s="22" t="s">
        <v>387</v>
      </c>
      <c r="D55" s="38"/>
      <c r="E55" s="22"/>
      <c r="F55" s="22"/>
      <c r="G55" s="44">
        <f>COUNTIF(D57:D60,"nu")</f>
        <v>0</v>
      </c>
      <c r="H55" s="45">
        <f>SUMIF(D57:D60,"NU",H57:H60)</f>
        <v>0</v>
      </c>
    </row>
    <row r="56" spans="1:8" ht="15.75" thickBot="1" x14ac:dyDescent="0.3">
      <c r="A56" s="349"/>
      <c r="B56" s="360"/>
      <c r="C56" s="22" t="s">
        <v>389</v>
      </c>
      <c r="D56" s="38" t="s">
        <v>162</v>
      </c>
      <c r="E56" s="22" t="s">
        <v>71</v>
      </c>
      <c r="F56" s="22"/>
      <c r="G56" s="46">
        <f>COUNTIF(D57:D60,"da")</f>
        <v>0</v>
      </c>
      <c r="H56" s="47">
        <f>SUMIF(D57:D60,"DA",H57:H60)</f>
        <v>0</v>
      </c>
    </row>
    <row r="57" spans="1:8" x14ac:dyDescent="0.25">
      <c r="A57" s="349"/>
      <c r="B57" s="360"/>
      <c r="C57" s="29"/>
      <c r="D57" s="63"/>
      <c r="E57" s="63"/>
      <c r="F57" s="22"/>
      <c r="G57" s="22"/>
      <c r="H57" s="41">
        <f>E57*25/100</f>
        <v>0</v>
      </c>
    </row>
    <row r="58" spans="1:8" x14ac:dyDescent="0.25">
      <c r="A58" s="349"/>
      <c r="B58" s="360"/>
      <c r="C58" s="29"/>
      <c r="D58" s="63"/>
      <c r="E58" s="63"/>
      <c r="F58" s="42"/>
      <c r="G58" s="42"/>
      <c r="H58" s="41">
        <f>E58*25/100</f>
        <v>0</v>
      </c>
    </row>
    <row r="59" spans="1:8" x14ac:dyDescent="0.25">
      <c r="A59" s="349"/>
      <c r="B59" s="360"/>
      <c r="C59" s="48"/>
      <c r="D59" s="65"/>
      <c r="E59" s="65"/>
      <c r="F59" s="42"/>
      <c r="G59" s="42"/>
      <c r="H59" s="41">
        <f>E59*25/100</f>
        <v>0</v>
      </c>
    </row>
    <row r="60" spans="1:8" ht="15.75" thickBot="1" x14ac:dyDescent="0.3">
      <c r="A60" s="358"/>
      <c r="B60" s="361"/>
      <c r="C60" s="48"/>
      <c r="D60" s="65"/>
      <c r="E60" s="65"/>
      <c r="F60" s="42"/>
      <c r="G60" s="42"/>
      <c r="H60" s="41">
        <f>E60*25/100</f>
        <v>0</v>
      </c>
    </row>
    <row r="61" spans="1:8" ht="15.75" thickBot="1" x14ac:dyDescent="0.3">
      <c r="A61" s="351" t="s">
        <v>13</v>
      </c>
      <c r="B61" s="23" t="s">
        <v>15</v>
      </c>
      <c r="C61" s="24"/>
      <c r="D61" s="24"/>
      <c r="E61" s="24"/>
      <c r="F61" s="24"/>
      <c r="G61" s="24">
        <f>G62+G68</f>
        <v>0</v>
      </c>
      <c r="H61" s="60">
        <f>H62+H68+H74</f>
        <v>0</v>
      </c>
    </row>
    <row r="62" spans="1:8" x14ac:dyDescent="0.25">
      <c r="A62" s="349"/>
      <c r="B62" s="352"/>
      <c r="C62" s="249" t="s">
        <v>346</v>
      </c>
      <c r="D62" s="38"/>
      <c r="E62" s="21"/>
      <c r="F62" s="21"/>
      <c r="G62" s="44">
        <f>COUNTIF(D64:D67,"nu")</f>
        <v>0</v>
      </c>
      <c r="H62" s="45">
        <f>SUMIF(D64:D67,"NU",H64:H67)</f>
        <v>0</v>
      </c>
    </row>
    <row r="63" spans="1:8" ht="15.75" thickBot="1" x14ac:dyDescent="0.3">
      <c r="A63" s="349"/>
      <c r="B63" s="352"/>
      <c r="C63" s="249" t="s">
        <v>347</v>
      </c>
      <c r="D63" s="38" t="s">
        <v>162</v>
      </c>
      <c r="E63" s="21" t="s">
        <v>9</v>
      </c>
      <c r="F63" s="21"/>
      <c r="G63" s="46">
        <f>COUNTIF(D64:D67,"da")</f>
        <v>0</v>
      </c>
      <c r="H63" s="47">
        <f>SUMIF(D64:D67,"DA",H64:H67)</f>
        <v>0</v>
      </c>
    </row>
    <row r="64" spans="1:8" x14ac:dyDescent="0.25">
      <c r="A64" s="349"/>
      <c r="B64" s="353"/>
      <c r="C64" s="250"/>
      <c r="D64" s="63"/>
      <c r="E64" s="63"/>
      <c r="F64" s="22"/>
      <c r="G64" s="22"/>
      <c r="H64" s="41">
        <f>(8*E64)</f>
        <v>0</v>
      </c>
    </row>
    <row r="65" spans="1:8" x14ac:dyDescent="0.25">
      <c r="A65" s="349"/>
      <c r="B65" s="353"/>
      <c r="C65" s="250"/>
      <c r="D65" s="63"/>
      <c r="E65" s="63"/>
      <c r="F65" s="22"/>
      <c r="G65" s="22"/>
      <c r="H65" s="41">
        <f t="shared" ref="H65:H67" si="2">(8*E65)</f>
        <v>0</v>
      </c>
    </row>
    <row r="66" spans="1:8" x14ac:dyDescent="0.25">
      <c r="A66" s="349"/>
      <c r="B66" s="353"/>
      <c r="C66" s="250"/>
      <c r="D66" s="63"/>
      <c r="E66" s="63"/>
      <c r="F66" s="22"/>
      <c r="G66" s="22"/>
      <c r="H66" s="41">
        <f t="shared" si="2"/>
        <v>0</v>
      </c>
    </row>
    <row r="67" spans="1:8" ht="15.75" thickBot="1" x14ac:dyDescent="0.3">
      <c r="A67" s="349"/>
      <c r="B67" s="353"/>
      <c r="C67" s="250"/>
      <c r="D67" s="63"/>
      <c r="E67" s="63"/>
      <c r="F67" s="22"/>
      <c r="G67" s="22"/>
      <c r="H67" s="41">
        <f t="shared" si="2"/>
        <v>0</v>
      </c>
    </row>
    <row r="68" spans="1:8" x14ac:dyDescent="0.25">
      <c r="A68" s="349"/>
      <c r="B68" s="353"/>
      <c r="C68" s="249" t="s">
        <v>348</v>
      </c>
      <c r="D68" s="38"/>
      <c r="E68" s="22"/>
      <c r="F68" s="22"/>
      <c r="G68" s="44">
        <f>COUNTIF(D70:D73,"nu")</f>
        <v>0</v>
      </c>
      <c r="H68" s="45">
        <f>SUMIF(D70:D73,"NU",H70:H73)</f>
        <v>0</v>
      </c>
    </row>
    <row r="69" spans="1:8" ht="15.75" thickBot="1" x14ac:dyDescent="0.3">
      <c r="A69" s="349"/>
      <c r="B69" s="353"/>
      <c r="C69" s="249" t="s">
        <v>349</v>
      </c>
      <c r="D69" s="38" t="s">
        <v>162</v>
      </c>
      <c r="E69" s="22" t="s">
        <v>9</v>
      </c>
      <c r="F69" s="22" t="s">
        <v>10</v>
      </c>
      <c r="G69" s="46">
        <f>COUNTIF(D70:D73,"da")</f>
        <v>0</v>
      </c>
      <c r="H69" s="47">
        <f>SUMIF(D70:D73,"DA",H70:H73)</f>
        <v>0</v>
      </c>
    </row>
    <row r="70" spans="1:8" x14ac:dyDescent="0.25">
      <c r="A70" s="349"/>
      <c r="B70" s="353"/>
      <c r="C70" s="29"/>
      <c r="D70" s="63"/>
      <c r="E70" s="63"/>
      <c r="F70" s="63"/>
      <c r="G70" s="22"/>
      <c r="H70" s="41">
        <f>IF(F70=0,0,(8*E70)/(F70))</f>
        <v>0</v>
      </c>
    </row>
    <row r="71" spans="1:8" x14ac:dyDescent="0.25">
      <c r="A71" s="349"/>
      <c r="B71" s="353"/>
      <c r="C71" s="29"/>
      <c r="D71" s="63"/>
      <c r="E71" s="63"/>
      <c r="F71" s="63"/>
      <c r="G71" s="22"/>
      <c r="H71" s="41">
        <f>IF(F71=0,0,(8*E71)/(F71))</f>
        <v>0</v>
      </c>
    </row>
    <row r="72" spans="1:8" x14ac:dyDescent="0.25">
      <c r="A72" s="349"/>
      <c r="B72" s="353"/>
      <c r="C72" s="29"/>
      <c r="D72" s="63"/>
      <c r="E72" s="63"/>
      <c r="F72" s="63"/>
      <c r="G72" s="22"/>
      <c r="H72" s="41">
        <f t="shared" ref="H72:H73" si="3">IF(F72=0,0,(8*E72)/(F72))</f>
        <v>0</v>
      </c>
    </row>
    <row r="73" spans="1:8" ht="15.75" thickBot="1" x14ac:dyDescent="0.3">
      <c r="A73" s="349"/>
      <c r="B73" s="353"/>
      <c r="C73" s="29"/>
      <c r="D73" s="63"/>
      <c r="E73" s="63"/>
      <c r="F73" s="63"/>
      <c r="G73" s="22"/>
      <c r="H73" s="41">
        <f t="shared" si="3"/>
        <v>0</v>
      </c>
    </row>
    <row r="74" spans="1:8" x14ac:dyDescent="0.25">
      <c r="A74" s="349"/>
      <c r="B74" s="353"/>
      <c r="C74" s="22" t="s">
        <v>390</v>
      </c>
      <c r="D74" s="38"/>
      <c r="E74" s="22"/>
      <c r="F74" s="22"/>
      <c r="G74" s="44">
        <f>COUNTIF(D76:D79,"nu")</f>
        <v>0</v>
      </c>
      <c r="H74" s="45">
        <f>SUMIF(D76:D79,"NU",H76:H79)</f>
        <v>0</v>
      </c>
    </row>
    <row r="75" spans="1:8" ht="15.75" thickBot="1" x14ac:dyDescent="0.3">
      <c r="A75" s="349"/>
      <c r="B75" s="353"/>
      <c r="C75" s="22" t="s">
        <v>391</v>
      </c>
      <c r="D75" s="38" t="s">
        <v>162</v>
      </c>
      <c r="E75" s="22" t="s">
        <v>71</v>
      </c>
      <c r="F75" s="22"/>
      <c r="G75" s="46">
        <f>COUNTIF(D76:D79,"da")</f>
        <v>0</v>
      </c>
      <c r="H75" s="47">
        <f>SUMIF(D76:D79,"DA",H76:H79)</f>
        <v>0</v>
      </c>
    </row>
    <row r="76" spans="1:8" x14ac:dyDescent="0.25">
      <c r="A76" s="349"/>
      <c r="B76" s="353"/>
      <c r="C76" s="29"/>
      <c r="D76" s="63"/>
      <c r="E76" s="63"/>
      <c r="F76" s="22"/>
      <c r="G76" s="22"/>
      <c r="H76" s="41">
        <f>E76*25/100</f>
        <v>0</v>
      </c>
    </row>
    <row r="77" spans="1:8" x14ac:dyDescent="0.25">
      <c r="A77" s="349"/>
      <c r="B77" s="354"/>
      <c r="C77" s="48"/>
      <c r="D77" s="65"/>
      <c r="E77" s="65"/>
      <c r="F77" s="42"/>
      <c r="G77" s="42"/>
      <c r="H77" s="41">
        <f>E77*25/100</f>
        <v>0</v>
      </c>
    </row>
    <row r="78" spans="1:8" x14ac:dyDescent="0.25">
      <c r="A78" s="349"/>
      <c r="B78" s="354"/>
      <c r="C78" s="48"/>
      <c r="D78" s="65"/>
      <c r="E78" s="65"/>
      <c r="F78" s="42"/>
      <c r="G78" s="42"/>
      <c r="H78" s="41">
        <f>E78*25/100</f>
        <v>0</v>
      </c>
    </row>
    <row r="79" spans="1:8" ht="15.75" thickBot="1" x14ac:dyDescent="0.3">
      <c r="A79" s="358"/>
      <c r="B79" s="354"/>
      <c r="C79" s="48"/>
      <c r="D79" s="65"/>
      <c r="E79" s="65"/>
      <c r="F79" s="42"/>
      <c r="G79" s="42"/>
      <c r="H79" s="41">
        <f>E79*25/100</f>
        <v>0</v>
      </c>
    </row>
    <row r="80" spans="1:8" ht="15.75" thickBot="1" x14ac:dyDescent="0.3">
      <c r="A80" s="351" t="s">
        <v>16</v>
      </c>
      <c r="B80" s="23" t="s">
        <v>17</v>
      </c>
      <c r="C80" s="24"/>
      <c r="D80" s="24"/>
      <c r="E80" s="24"/>
      <c r="F80" s="24"/>
      <c r="G80" s="24">
        <f>G81+G110</f>
        <v>0</v>
      </c>
      <c r="H80" s="60">
        <f>H81+H110</f>
        <v>0</v>
      </c>
    </row>
    <row r="81" spans="1:8" ht="15.75" thickBot="1" x14ac:dyDescent="0.3">
      <c r="A81" s="349"/>
      <c r="B81" s="355" t="s">
        <v>18</v>
      </c>
      <c r="C81" s="21" t="s">
        <v>19</v>
      </c>
      <c r="D81" s="21"/>
      <c r="E81" s="21"/>
      <c r="F81" s="34"/>
      <c r="G81" s="23">
        <f>G82+G88</f>
        <v>0</v>
      </c>
      <c r="H81" s="60">
        <f>H82+H88+H99</f>
        <v>0</v>
      </c>
    </row>
    <row r="82" spans="1:8" x14ac:dyDescent="0.25">
      <c r="A82" s="349"/>
      <c r="B82" s="356"/>
      <c r="C82" s="22" t="s">
        <v>176</v>
      </c>
      <c r="D82" s="38"/>
      <c r="E82" s="22"/>
      <c r="F82" s="22"/>
      <c r="G82" s="44">
        <f>COUNTIF(D84:D87,"nu")</f>
        <v>0</v>
      </c>
      <c r="H82" s="45">
        <f>SUMIF(D84:D87,"NU",H84:H87)</f>
        <v>0</v>
      </c>
    </row>
    <row r="83" spans="1:8" ht="15.75" thickBot="1" x14ac:dyDescent="0.3">
      <c r="A83" s="349"/>
      <c r="B83" s="356"/>
      <c r="C83" s="22" t="s">
        <v>177</v>
      </c>
      <c r="D83" s="38" t="s">
        <v>162</v>
      </c>
      <c r="E83" s="22" t="s">
        <v>9</v>
      </c>
      <c r="F83" s="22"/>
      <c r="G83" s="46">
        <f>COUNTIF(D84:D87,"da")</f>
        <v>0</v>
      </c>
      <c r="H83" s="47">
        <f>SUMIF(D84:D87,"DA",H84:H87)</f>
        <v>0</v>
      </c>
    </row>
    <row r="84" spans="1:8" x14ac:dyDescent="0.25">
      <c r="A84" s="349"/>
      <c r="B84" s="356"/>
      <c r="C84" s="29"/>
      <c r="D84" s="63"/>
      <c r="E84" s="63"/>
      <c r="F84" s="22"/>
      <c r="G84" s="22"/>
      <c r="H84" s="41">
        <f>(0.6*E84)</f>
        <v>0</v>
      </c>
    </row>
    <row r="85" spans="1:8" x14ac:dyDescent="0.25">
      <c r="A85" s="349"/>
      <c r="B85" s="356"/>
      <c r="C85" s="29"/>
      <c r="D85" s="63"/>
      <c r="E85" s="63"/>
      <c r="F85" s="22"/>
      <c r="G85" s="22"/>
      <c r="H85" s="41">
        <f>(0.6*E85)</f>
        <v>0</v>
      </c>
    </row>
    <row r="86" spans="1:8" x14ac:dyDescent="0.25">
      <c r="A86" s="349"/>
      <c r="B86" s="356"/>
      <c r="C86" s="29"/>
      <c r="D86" s="63"/>
      <c r="E86" s="63"/>
      <c r="F86" s="22"/>
      <c r="G86" s="22"/>
      <c r="H86" s="41">
        <f>(0.6*E86)</f>
        <v>0</v>
      </c>
    </row>
    <row r="87" spans="1:8" ht="15.75" thickBot="1" x14ac:dyDescent="0.3">
      <c r="A87" s="349"/>
      <c r="B87" s="356"/>
      <c r="C87" s="29"/>
      <c r="D87" s="63"/>
      <c r="E87" s="63"/>
      <c r="F87" s="22"/>
      <c r="G87" s="22"/>
      <c r="H87" s="41">
        <f>(0.6*E87)</f>
        <v>0</v>
      </c>
    </row>
    <row r="88" spans="1:8" x14ac:dyDescent="0.25">
      <c r="A88" s="349"/>
      <c r="B88" s="356"/>
      <c r="C88" s="22" t="s">
        <v>178</v>
      </c>
      <c r="D88" s="38"/>
      <c r="E88" s="22"/>
      <c r="F88" s="22"/>
      <c r="G88" s="44">
        <f>COUNTIF(D90:D98,"nu")</f>
        <v>0</v>
      </c>
      <c r="H88" s="45">
        <f>SUMIF(D90:D98,"NU",H90:H98)</f>
        <v>0</v>
      </c>
    </row>
    <row r="89" spans="1:8" ht="15.75" thickBot="1" x14ac:dyDescent="0.3">
      <c r="A89" s="349"/>
      <c r="B89" s="356"/>
      <c r="C89" s="22" t="s">
        <v>179</v>
      </c>
      <c r="D89" s="38" t="s">
        <v>162</v>
      </c>
      <c r="E89" s="22" t="s">
        <v>9</v>
      </c>
      <c r="F89" s="22" t="s">
        <v>10</v>
      </c>
      <c r="G89" s="46">
        <f>COUNTIF(D90:D98,"da")</f>
        <v>0</v>
      </c>
      <c r="H89" s="47">
        <f>SUMIF(D90:D98,"DA",H90:H98)</f>
        <v>0</v>
      </c>
    </row>
    <row r="90" spans="1:8" x14ac:dyDescent="0.25">
      <c r="A90" s="349"/>
      <c r="B90" s="356"/>
      <c r="C90" s="29"/>
      <c r="D90" s="63"/>
      <c r="E90" s="63"/>
      <c r="F90" s="63"/>
      <c r="G90" s="22"/>
      <c r="H90" s="41">
        <f>IF(F90=0,0,(0.6*E90)/(F90))</f>
        <v>0</v>
      </c>
    </row>
    <row r="91" spans="1:8" x14ac:dyDescent="0.25">
      <c r="A91" s="349"/>
      <c r="B91" s="356"/>
      <c r="C91" s="29"/>
      <c r="D91" s="63"/>
      <c r="E91" s="63"/>
      <c r="F91" s="63"/>
      <c r="G91" s="22"/>
      <c r="H91" s="41">
        <f t="shared" ref="H91:H96" si="4">IF(F91=0,0,(0.6*E91)/(F91))</f>
        <v>0</v>
      </c>
    </row>
    <row r="92" spans="1:8" x14ac:dyDescent="0.25">
      <c r="A92" s="349"/>
      <c r="B92" s="356"/>
      <c r="C92" s="29"/>
      <c r="D92" s="63"/>
      <c r="E92" s="63"/>
      <c r="F92" s="63"/>
      <c r="G92" s="22"/>
      <c r="H92" s="41">
        <f t="shared" si="4"/>
        <v>0</v>
      </c>
    </row>
    <row r="93" spans="1:8" x14ac:dyDescent="0.25">
      <c r="A93" s="349"/>
      <c r="B93" s="356"/>
      <c r="C93" s="29"/>
      <c r="D93" s="63"/>
      <c r="E93" s="63"/>
      <c r="F93" s="63"/>
      <c r="G93" s="22"/>
      <c r="H93" s="41">
        <f>IF(F93=0,0,(0.6*E93)/(F93))</f>
        <v>0</v>
      </c>
    </row>
    <row r="94" spans="1:8" x14ac:dyDescent="0.25">
      <c r="A94" s="349"/>
      <c r="B94" s="356"/>
      <c r="C94" s="29"/>
      <c r="D94" s="63"/>
      <c r="E94" s="63"/>
      <c r="F94" s="63"/>
      <c r="G94" s="22"/>
      <c r="H94" s="41">
        <f t="shared" si="4"/>
        <v>0</v>
      </c>
    </row>
    <row r="95" spans="1:8" x14ac:dyDescent="0.25">
      <c r="A95" s="349"/>
      <c r="B95" s="356"/>
      <c r="C95" s="29"/>
      <c r="D95" s="63"/>
      <c r="E95" s="63"/>
      <c r="F95" s="63"/>
      <c r="G95" s="22"/>
      <c r="H95" s="41">
        <f t="shared" si="4"/>
        <v>0</v>
      </c>
    </row>
    <row r="96" spans="1:8" x14ac:dyDescent="0.25">
      <c r="A96" s="349"/>
      <c r="B96" s="356"/>
      <c r="C96" s="29"/>
      <c r="D96" s="63"/>
      <c r="E96" s="63"/>
      <c r="F96" s="63"/>
      <c r="G96" s="22"/>
      <c r="H96" s="41">
        <f t="shared" si="4"/>
        <v>0</v>
      </c>
    </row>
    <row r="97" spans="1:8" x14ac:dyDescent="0.25">
      <c r="A97" s="349"/>
      <c r="B97" s="356"/>
      <c r="C97" s="29"/>
      <c r="D97" s="63"/>
      <c r="E97" s="63"/>
      <c r="F97" s="63"/>
      <c r="G97" s="22"/>
      <c r="H97" s="41">
        <f>IF(F97=0,0,(0.6*E97)/(F97))</f>
        <v>0</v>
      </c>
    </row>
    <row r="98" spans="1:8" ht="15.75" thickBot="1" x14ac:dyDescent="0.3">
      <c r="A98" s="349"/>
      <c r="B98" s="356"/>
      <c r="C98" s="29"/>
      <c r="D98" s="63"/>
      <c r="E98" s="63"/>
      <c r="F98" s="63"/>
      <c r="G98" s="22"/>
      <c r="H98" s="41">
        <f>IF(F98=0,0,(0.6*E98)/(F98))</f>
        <v>0</v>
      </c>
    </row>
    <row r="99" spans="1:8" x14ac:dyDescent="0.25">
      <c r="A99" s="349"/>
      <c r="B99" s="356"/>
      <c r="C99" s="22" t="s">
        <v>390</v>
      </c>
      <c r="D99" s="38"/>
      <c r="E99" s="22"/>
      <c r="F99" s="22"/>
      <c r="G99" s="44">
        <f>COUNTIF(D101:D109,"nu")</f>
        <v>0</v>
      </c>
      <c r="H99" s="45">
        <f>SUMIF(D101:D109,"NU",H101:H109)</f>
        <v>0</v>
      </c>
    </row>
    <row r="100" spans="1:8" ht="15.75" thickBot="1" x14ac:dyDescent="0.3">
      <c r="A100" s="349"/>
      <c r="B100" s="356"/>
      <c r="C100" s="22" t="s">
        <v>391</v>
      </c>
      <c r="D100" s="38" t="s">
        <v>162</v>
      </c>
      <c r="E100" s="22" t="s">
        <v>71</v>
      </c>
      <c r="F100" s="22"/>
      <c r="G100" s="46">
        <f>COUNTIF(D101:D109,"da")</f>
        <v>0</v>
      </c>
      <c r="H100" s="47">
        <f>SUMIF(D101:D109,"DA",H101:H109)</f>
        <v>0</v>
      </c>
    </row>
    <row r="101" spans="1:8" x14ac:dyDescent="0.25">
      <c r="A101" s="349"/>
      <c r="B101" s="356"/>
      <c r="C101" s="29"/>
      <c r="D101" s="63"/>
      <c r="E101" s="63"/>
      <c r="F101" s="22"/>
      <c r="G101" s="22"/>
      <c r="H101" s="41">
        <f>E101*25/100</f>
        <v>0</v>
      </c>
    </row>
    <row r="102" spans="1:8" x14ac:dyDescent="0.25">
      <c r="A102" s="349"/>
      <c r="B102" s="356"/>
      <c r="C102" s="29"/>
      <c r="D102" s="63"/>
      <c r="E102" s="63"/>
      <c r="F102" s="22"/>
      <c r="G102" s="42"/>
      <c r="H102" s="41">
        <f t="shared" ref="H102:H107" si="5">E102*25/100</f>
        <v>0</v>
      </c>
    </row>
    <row r="103" spans="1:8" x14ac:dyDescent="0.25">
      <c r="A103" s="349"/>
      <c r="B103" s="356"/>
      <c r="C103" s="29"/>
      <c r="D103" s="63"/>
      <c r="E103" s="63"/>
      <c r="F103" s="22"/>
      <c r="G103" s="42"/>
      <c r="H103" s="41">
        <f t="shared" si="5"/>
        <v>0</v>
      </c>
    </row>
    <row r="104" spans="1:8" x14ac:dyDescent="0.25">
      <c r="A104" s="349"/>
      <c r="B104" s="356"/>
      <c r="C104" s="29"/>
      <c r="D104" s="63"/>
      <c r="E104" s="63"/>
      <c r="F104" s="22"/>
      <c r="G104" s="42"/>
      <c r="H104" s="41">
        <f t="shared" si="5"/>
        <v>0</v>
      </c>
    </row>
    <row r="105" spans="1:8" x14ac:dyDescent="0.25">
      <c r="A105" s="349"/>
      <c r="B105" s="356"/>
      <c r="C105" s="29"/>
      <c r="D105" s="63"/>
      <c r="E105" s="63"/>
      <c r="F105" s="22"/>
      <c r="G105" s="42"/>
      <c r="H105" s="41">
        <f t="shared" si="5"/>
        <v>0</v>
      </c>
    </row>
    <row r="106" spans="1:8" x14ac:dyDescent="0.25">
      <c r="A106" s="349"/>
      <c r="B106" s="356"/>
      <c r="C106" s="29"/>
      <c r="D106" s="63"/>
      <c r="E106" s="63"/>
      <c r="F106" s="22"/>
      <c r="G106" s="42"/>
      <c r="H106" s="41">
        <f t="shared" si="5"/>
        <v>0</v>
      </c>
    </row>
    <row r="107" spans="1:8" x14ac:dyDescent="0.25">
      <c r="A107" s="349"/>
      <c r="B107" s="356"/>
      <c r="C107" s="29"/>
      <c r="D107" s="63"/>
      <c r="E107" s="63"/>
      <c r="F107" s="22"/>
      <c r="G107" s="42"/>
      <c r="H107" s="41">
        <f t="shared" si="5"/>
        <v>0</v>
      </c>
    </row>
    <row r="108" spans="1:8" x14ac:dyDescent="0.25">
      <c r="A108" s="349"/>
      <c r="B108" s="356"/>
      <c r="C108" s="29"/>
      <c r="D108" s="63"/>
      <c r="E108" s="63"/>
      <c r="F108" s="22"/>
      <c r="G108" s="42"/>
      <c r="H108" s="41">
        <f>E108*25/100</f>
        <v>0</v>
      </c>
    </row>
    <row r="109" spans="1:8" ht="15.75" thickBot="1" x14ac:dyDescent="0.3">
      <c r="A109" s="349"/>
      <c r="B109" s="357"/>
      <c r="C109" s="29"/>
      <c r="D109" s="63"/>
      <c r="E109" s="63"/>
      <c r="F109" s="22"/>
      <c r="G109" s="42"/>
      <c r="H109" s="41">
        <f>E109*25/100</f>
        <v>0</v>
      </c>
    </row>
    <row r="110" spans="1:8" ht="15.75" thickBot="1" x14ac:dyDescent="0.3">
      <c r="A110" s="349"/>
      <c r="B110" s="359" t="s">
        <v>20</v>
      </c>
      <c r="C110" s="22" t="s">
        <v>21</v>
      </c>
      <c r="D110" s="22"/>
      <c r="E110" s="22"/>
      <c r="F110" s="43"/>
      <c r="G110" s="23">
        <f>G111+G117</f>
        <v>0</v>
      </c>
      <c r="H110" s="60">
        <f>H111+H117+H123</f>
        <v>0</v>
      </c>
    </row>
    <row r="111" spans="1:8" x14ac:dyDescent="0.25">
      <c r="A111" s="349"/>
      <c r="B111" s="360"/>
      <c r="C111" s="22" t="s">
        <v>180</v>
      </c>
      <c r="D111" s="38"/>
      <c r="E111" s="22"/>
      <c r="F111" s="22"/>
      <c r="G111" s="44">
        <f>COUNTIF(D113:D116,"nu")</f>
        <v>0</v>
      </c>
      <c r="H111" s="45">
        <f>SUMIF(D113:D116,"NU",H113:H116)</f>
        <v>0</v>
      </c>
    </row>
    <row r="112" spans="1:8" ht="15.75" thickBot="1" x14ac:dyDescent="0.3">
      <c r="A112" s="349"/>
      <c r="B112" s="360"/>
      <c r="C112" s="22" t="s">
        <v>181</v>
      </c>
      <c r="D112" s="38" t="s">
        <v>162</v>
      </c>
      <c r="E112" s="22" t="s">
        <v>9</v>
      </c>
      <c r="F112" s="22"/>
      <c r="G112" s="46">
        <f>COUNTIF(D113:D116,"da")</f>
        <v>0</v>
      </c>
      <c r="H112" s="47">
        <f>SUMIF(D113:D116,"DA",H113:H116)</f>
        <v>0</v>
      </c>
    </row>
    <row r="113" spans="1:8" x14ac:dyDescent="0.25">
      <c r="A113" s="349"/>
      <c r="B113" s="360"/>
      <c r="C113" s="29"/>
      <c r="D113" s="63"/>
      <c r="E113" s="63"/>
      <c r="F113" s="22"/>
      <c r="G113" s="22"/>
      <c r="H113" s="41">
        <f>(0.8*E113)</f>
        <v>0</v>
      </c>
    </row>
    <row r="114" spans="1:8" x14ac:dyDescent="0.25">
      <c r="A114" s="349"/>
      <c r="B114" s="360"/>
      <c r="C114" s="29"/>
      <c r="D114" s="63"/>
      <c r="E114" s="63"/>
      <c r="F114" s="22"/>
      <c r="G114" s="22"/>
      <c r="H114" s="41">
        <f>(0.8*E114)</f>
        <v>0</v>
      </c>
    </row>
    <row r="115" spans="1:8" x14ac:dyDescent="0.25">
      <c r="A115" s="349"/>
      <c r="B115" s="360"/>
      <c r="C115" s="29"/>
      <c r="D115" s="63"/>
      <c r="E115" s="63"/>
      <c r="F115" s="22"/>
      <c r="G115" s="22"/>
      <c r="H115" s="41">
        <f>(0.8*E115)</f>
        <v>0</v>
      </c>
    </row>
    <row r="116" spans="1:8" ht="15.75" thickBot="1" x14ac:dyDescent="0.3">
      <c r="A116" s="349"/>
      <c r="B116" s="360"/>
      <c r="C116" s="29"/>
      <c r="D116" s="63"/>
      <c r="E116" s="63"/>
      <c r="F116" s="22"/>
      <c r="G116" s="22"/>
      <c r="H116" s="41">
        <f>(0.8*E116)</f>
        <v>0</v>
      </c>
    </row>
    <row r="117" spans="1:8" x14ac:dyDescent="0.25">
      <c r="A117" s="349"/>
      <c r="B117" s="360"/>
      <c r="C117" s="22" t="s">
        <v>182</v>
      </c>
      <c r="D117" s="38"/>
      <c r="E117" s="22"/>
      <c r="F117" s="22"/>
      <c r="G117" s="44">
        <f>COUNTIF(D119:D122,"nu")</f>
        <v>0</v>
      </c>
      <c r="H117" s="45">
        <f>SUMIF(D119:D122,"NU",H119:H122)</f>
        <v>0</v>
      </c>
    </row>
    <row r="118" spans="1:8" ht="15.75" thickBot="1" x14ac:dyDescent="0.3">
      <c r="A118" s="349"/>
      <c r="B118" s="360"/>
      <c r="C118" s="22" t="s">
        <v>183</v>
      </c>
      <c r="D118" s="38" t="s">
        <v>162</v>
      </c>
      <c r="E118" s="22" t="s">
        <v>9</v>
      </c>
      <c r="F118" s="22" t="s">
        <v>10</v>
      </c>
      <c r="G118" s="46">
        <f>COUNTIF(D119:D122,"da")</f>
        <v>0</v>
      </c>
      <c r="H118" s="47">
        <f>SUMIF(D119:D122,"DA",H119:H122)</f>
        <v>0</v>
      </c>
    </row>
    <row r="119" spans="1:8" x14ac:dyDescent="0.25">
      <c r="A119" s="349"/>
      <c r="B119" s="360"/>
      <c r="C119" s="29"/>
      <c r="D119" s="63"/>
      <c r="E119" s="63"/>
      <c r="F119" s="63"/>
      <c r="G119" s="22"/>
      <c r="H119" s="41">
        <f>IF(F119=0,0,(0.8*E119)/(F119))</f>
        <v>0</v>
      </c>
    </row>
    <row r="120" spans="1:8" x14ac:dyDescent="0.25">
      <c r="A120" s="349"/>
      <c r="B120" s="360"/>
      <c r="C120" s="29"/>
      <c r="D120" s="63"/>
      <c r="E120" s="63"/>
      <c r="F120" s="63"/>
      <c r="G120" s="22"/>
      <c r="H120" s="41">
        <f>IF(F120=0,0,(0.8*E120)/(F120))</f>
        <v>0</v>
      </c>
    </row>
    <row r="121" spans="1:8" x14ac:dyDescent="0.25">
      <c r="A121" s="349"/>
      <c r="B121" s="360"/>
      <c r="C121" s="29"/>
      <c r="D121" s="63"/>
      <c r="E121" s="63"/>
      <c r="F121" s="63"/>
      <c r="G121" s="22"/>
      <c r="H121" s="41">
        <f>IF(F121=0,0,(0.8*E121)/(F121))</f>
        <v>0</v>
      </c>
    </row>
    <row r="122" spans="1:8" ht="15.75" thickBot="1" x14ac:dyDescent="0.3">
      <c r="A122" s="349"/>
      <c r="B122" s="360"/>
      <c r="C122" s="29"/>
      <c r="D122" s="63"/>
      <c r="E122" s="63"/>
      <c r="F122" s="63"/>
      <c r="G122" s="22"/>
      <c r="H122" s="41">
        <f>IF(F122=0,0,(0.8*E122)/(F122))</f>
        <v>0</v>
      </c>
    </row>
    <row r="123" spans="1:8" x14ac:dyDescent="0.25">
      <c r="A123" s="349"/>
      <c r="B123" s="360"/>
      <c r="C123" s="22" t="s">
        <v>387</v>
      </c>
      <c r="D123" s="38"/>
      <c r="E123" s="22"/>
      <c r="F123" s="22"/>
      <c r="G123" s="44">
        <f>COUNTIF(D125:D128,"nu")</f>
        <v>0</v>
      </c>
      <c r="H123" s="45">
        <f>SUMIF(D125:D128,"NU",H125:H128)</f>
        <v>0</v>
      </c>
    </row>
    <row r="124" spans="1:8" ht="15.75" thickBot="1" x14ac:dyDescent="0.3">
      <c r="A124" s="349"/>
      <c r="B124" s="360"/>
      <c r="C124" s="22" t="s">
        <v>389</v>
      </c>
      <c r="D124" s="38" t="s">
        <v>162</v>
      </c>
      <c r="E124" s="22" t="s">
        <v>71</v>
      </c>
      <c r="F124" s="22"/>
      <c r="G124" s="46">
        <f>COUNTIF(D125:D128,"da")</f>
        <v>0</v>
      </c>
      <c r="H124" s="47">
        <f>SUMIF(D125:D128,"DA",H125:H128)</f>
        <v>0</v>
      </c>
    </row>
    <row r="125" spans="1:8" x14ac:dyDescent="0.25">
      <c r="A125" s="349"/>
      <c r="B125" s="360"/>
      <c r="C125" s="29"/>
      <c r="D125" s="63"/>
      <c r="E125" s="63"/>
      <c r="F125" s="22"/>
      <c r="G125" s="22"/>
      <c r="H125" s="41">
        <f>E125*25/100</f>
        <v>0</v>
      </c>
    </row>
    <row r="126" spans="1:8" x14ac:dyDescent="0.25">
      <c r="A126" s="349"/>
      <c r="B126" s="360"/>
      <c r="C126" s="48"/>
      <c r="D126" s="65"/>
      <c r="E126" s="65"/>
      <c r="F126" s="42"/>
      <c r="G126" s="42"/>
      <c r="H126" s="41">
        <f>E126*25/100</f>
        <v>0</v>
      </c>
    </row>
    <row r="127" spans="1:8" x14ac:dyDescent="0.25">
      <c r="A127" s="349"/>
      <c r="B127" s="360"/>
      <c r="C127" s="48"/>
      <c r="D127" s="65"/>
      <c r="E127" s="65"/>
      <c r="F127" s="42"/>
      <c r="G127" s="42"/>
      <c r="H127" s="41">
        <f>E127*25/100</f>
        <v>0</v>
      </c>
    </row>
    <row r="128" spans="1:8" ht="15.75" thickBot="1" x14ac:dyDescent="0.3">
      <c r="A128" s="350"/>
      <c r="B128" s="361"/>
      <c r="C128" s="48"/>
      <c r="D128" s="65"/>
      <c r="E128" s="65"/>
      <c r="F128" s="42"/>
      <c r="G128" s="42"/>
      <c r="H128" s="41">
        <f>E128*25/100</f>
        <v>0</v>
      </c>
    </row>
    <row r="129" spans="1:8" ht="32.25" customHeight="1" thickBot="1" x14ac:dyDescent="0.3">
      <c r="A129" s="340" t="s">
        <v>303</v>
      </c>
      <c r="B129" s="341"/>
      <c r="C129" s="341"/>
      <c r="D129" s="341"/>
      <c r="E129" s="342"/>
      <c r="F129" s="49"/>
      <c r="G129" s="49"/>
      <c r="H129" s="137">
        <f>IF(G8&lt;=10,H13+H61+H80,(H13+H61+H80)/($G$8-5)*5)</f>
        <v>0</v>
      </c>
    </row>
    <row r="130" spans="1:8" ht="15.75" thickBot="1" x14ac:dyDescent="0.3">
      <c r="A130" s="348" t="s">
        <v>22</v>
      </c>
      <c r="B130" s="35" t="s">
        <v>23</v>
      </c>
      <c r="C130" s="232" t="s">
        <v>191</v>
      </c>
      <c r="D130" s="50"/>
      <c r="E130" s="50"/>
      <c r="F130" s="50"/>
      <c r="G130" s="86">
        <f>G131+G140+G144</f>
        <v>0</v>
      </c>
      <c r="H130" s="69">
        <f>H131+H140+H144</f>
        <v>0</v>
      </c>
    </row>
    <row r="131" spans="1:8" ht="15.75" customHeight="1" thickBot="1" x14ac:dyDescent="0.3">
      <c r="A131" s="349"/>
      <c r="B131" s="355" t="s">
        <v>24</v>
      </c>
      <c r="C131" s="10" t="s">
        <v>25</v>
      </c>
      <c r="D131" s="21"/>
      <c r="E131" s="21"/>
      <c r="F131" s="34"/>
      <c r="G131" s="81">
        <f>G132+G136</f>
        <v>0</v>
      </c>
      <c r="H131" s="60">
        <f>H132+H136</f>
        <v>0</v>
      </c>
    </row>
    <row r="132" spans="1:8" ht="15.75" thickBot="1" x14ac:dyDescent="0.3">
      <c r="A132" s="349"/>
      <c r="B132" s="356"/>
      <c r="C132" s="25" t="s">
        <v>26</v>
      </c>
      <c r="D132" s="11"/>
      <c r="E132" s="22"/>
      <c r="F132" s="43"/>
      <c r="G132" s="83">
        <f>G133+G134</f>
        <v>0</v>
      </c>
      <c r="H132" s="39">
        <f>H133+H134+H135</f>
        <v>0</v>
      </c>
    </row>
    <row r="133" spans="1:8" x14ac:dyDescent="0.25">
      <c r="A133" s="349"/>
      <c r="B133" s="356"/>
      <c r="C133" s="22" t="s">
        <v>168</v>
      </c>
      <c r="D133" s="22"/>
      <c r="E133" s="22"/>
      <c r="F133" s="43"/>
      <c r="G133" s="41">
        <f>G16</f>
        <v>0</v>
      </c>
      <c r="H133" s="41">
        <f>H16</f>
        <v>0</v>
      </c>
    </row>
    <row r="134" spans="1:8" x14ac:dyDescent="0.25">
      <c r="A134" s="349"/>
      <c r="B134" s="356"/>
      <c r="C134" s="66" t="s">
        <v>170</v>
      </c>
      <c r="D134" s="22"/>
      <c r="E134" s="22"/>
      <c r="F134" s="43"/>
      <c r="G134" s="52">
        <f>G22</f>
        <v>0</v>
      </c>
      <c r="H134" s="52">
        <f>H22</f>
        <v>0</v>
      </c>
    </row>
    <row r="135" spans="1:8" ht="15.75" thickBot="1" x14ac:dyDescent="0.3">
      <c r="A135" s="349"/>
      <c r="B135" s="356"/>
      <c r="C135" s="22" t="s">
        <v>387</v>
      </c>
      <c r="D135" s="22"/>
      <c r="E135" s="22"/>
      <c r="F135" s="43"/>
      <c r="G135" s="51">
        <f>G33</f>
        <v>0</v>
      </c>
      <c r="H135" s="51">
        <f>H33</f>
        <v>0</v>
      </c>
    </row>
    <row r="136" spans="1:8" ht="15.75" thickBot="1" x14ac:dyDescent="0.3">
      <c r="A136" s="349"/>
      <c r="B136" s="356"/>
      <c r="C136" s="25" t="s">
        <v>27</v>
      </c>
      <c r="D136" s="22"/>
      <c r="E136" s="22"/>
      <c r="F136" s="43"/>
      <c r="G136" s="82">
        <f>G137+G138</f>
        <v>0</v>
      </c>
      <c r="H136" s="39">
        <f>H137+H138+H139</f>
        <v>0</v>
      </c>
    </row>
    <row r="137" spans="1:8" x14ac:dyDescent="0.25">
      <c r="A137" s="349"/>
      <c r="B137" s="356"/>
      <c r="C137" s="22" t="s">
        <v>184</v>
      </c>
      <c r="D137" s="22"/>
      <c r="E137" s="22"/>
      <c r="F137" s="43"/>
      <c r="G137" s="41">
        <f>G44</f>
        <v>0</v>
      </c>
      <c r="H137" s="41">
        <f>H44</f>
        <v>0</v>
      </c>
    </row>
    <row r="138" spans="1:8" x14ac:dyDescent="0.25">
      <c r="A138" s="349"/>
      <c r="B138" s="356"/>
      <c r="C138" s="22" t="s">
        <v>185</v>
      </c>
      <c r="D138" s="22"/>
      <c r="E138" s="22"/>
      <c r="F138" s="43"/>
      <c r="G138" s="52">
        <f>G50</f>
        <v>0</v>
      </c>
      <c r="H138" s="52">
        <f>H50</f>
        <v>0</v>
      </c>
    </row>
    <row r="139" spans="1:8" ht="15.75" thickBot="1" x14ac:dyDescent="0.3">
      <c r="A139" s="349"/>
      <c r="B139" s="356"/>
      <c r="C139" s="22" t="s">
        <v>387</v>
      </c>
      <c r="D139" s="22"/>
      <c r="E139" s="22"/>
      <c r="F139" s="43"/>
      <c r="G139" s="51">
        <f>G56</f>
        <v>0</v>
      </c>
      <c r="H139" s="51">
        <f>H56</f>
        <v>0</v>
      </c>
    </row>
    <row r="140" spans="1:8" ht="15.75" thickBot="1" x14ac:dyDescent="0.3">
      <c r="A140" s="349"/>
      <c r="B140" s="356" t="s">
        <v>28</v>
      </c>
      <c r="C140" s="25" t="s">
        <v>29</v>
      </c>
      <c r="D140" s="22"/>
      <c r="E140" s="22"/>
      <c r="F140" s="43"/>
      <c r="G140" s="81">
        <f>G141+G142</f>
        <v>0</v>
      </c>
      <c r="H140" s="60">
        <f>H141+H142+H143</f>
        <v>0</v>
      </c>
    </row>
    <row r="141" spans="1:8" x14ac:dyDescent="0.25">
      <c r="A141" s="349"/>
      <c r="B141" s="356"/>
      <c r="C141" s="22" t="s">
        <v>392</v>
      </c>
      <c r="D141" s="11"/>
      <c r="E141" s="22"/>
      <c r="F141" s="43"/>
      <c r="G141" s="41">
        <f>G63</f>
        <v>0</v>
      </c>
      <c r="H141" s="41">
        <f>H63</f>
        <v>0</v>
      </c>
    </row>
    <row r="142" spans="1:8" x14ac:dyDescent="0.25">
      <c r="A142" s="349"/>
      <c r="B142" s="356"/>
      <c r="C142" s="22" t="s">
        <v>393</v>
      </c>
      <c r="D142" s="22"/>
      <c r="E142" s="22"/>
      <c r="F142" s="43"/>
      <c r="G142" s="52">
        <f>G69</f>
        <v>0</v>
      </c>
      <c r="H142" s="52">
        <f>H69</f>
        <v>0</v>
      </c>
    </row>
    <row r="143" spans="1:8" ht="15.75" thickBot="1" x14ac:dyDescent="0.3">
      <c r="A143" s="349"/>
      <c r="B143" s="356"/>
      <c r="C143" s="22" t="s">
        <v>390</v>
      </c>
      <c r="D143" s="22"/>
      <c r="E143" s="22"/>
      <c r="F143" s="43"/>
      <c r="G143" s="51">
        <f>G75</f>
        <v>0</v>
      </c>
      <c r="H143" s="51">
        <f>H75</f>
        <v>0</v>
      </c>
    </row>
    <row r="144" spans="1:8" ht="15.75" thickBot="1" x14ac:dyDescent="0.3">
      <c r="A144" s="349"/>
      <c r="B144" s="356" t="s">
        <v>190</v>
      </c>
      <c r="C144" s="25" t="s">
        <v>186</v>
      </c>
      <c r="D144" s="22"/>
      <c r="E144" s="22"/>
      <c r="F144" s="43"/>
      <c r="G144" s="81">
        <f>G145+G149</f>
        <v>0</v>
      </c>
      <c r="H144" s="60">
        <f>H145+H149</f>
        <v>0</v>
      </c>
    </row>
    <row r="145" spans="1:8" ht="15.75" thickBot="1" x14ac:dyDescent="0.3">
      <c r="A145" s="349"/>
      <c r="B145" s="356"/>
      <c r="C145" s="25" t="s">
        <v>187</v>
      </c>
      <c r="D145" s="22"/>
      <c r="E145" s="22"/>
      <c r="F145" s="43"/>
      <c r="G145" s="83">
        <f>G146+G147</f>
        <v>0</v>
      </c>
      <c r="H145" s="39">
        <f>H146+H147+H148</f>
        <v>0</v>
      </c>
    </row>
    <row r="146" spans="1:8" x14ac:dyDescent="0.25">
      <c r="A146" s="349"/>
      <c r="B146" s="356"/>
      <c r="C146" s="22" t="s">
        <v>176</v>
      </c>
      <c r="D146" s="22"/>
      <c r="E146" s="22"/>
      <c r="F146" s="43"/>
      <c r="G146" s="41">
        <f>G83</f>
        <v>0</v>
      </c>
      <c r="H146" s="41">
        <f>H83</f>
        <v>0</v>
      </c>
    </row>
    <row r="147" spans="1:8" x14ac:dyDescent="0.25">
      <c r="A147" s="349"/>
      <c r="B147" s="356"/>
      <c r="C147" s="66" t="s">
        <v>178</v>
      </c>
      <c r="D147" s="22"/>
      <c r="E147" s="22"/>
      <c r="F147" s="43"/>
      <c r="G147" s="52">
        <f>G89</f>
        <v>0</v>
      </c>
      <c r="H147" s="52">
        <f>H89</f>
        <v>0</v>
      </c>
    </row>
    <row r="148" spans="1:8" ht="15.75" thickBot="1" x14ac:dyDescent="0.3">
      <c r="A148" s="349"/>
      <c r="B148" s="356"/>
      <c r="C148" s="22" t="s">
        <v>390</v>
      </c>
      <c r="D148" s="22"/>
      <c r="E148" s="22"/>
      <c r="F148" s="43"/>
      <c r="G148" s="51">
        <f>G100</f>
        <v>0</v>
      </c>
      <c r="H148" s="51">
        <f>H100</f>
        <v>0</v>
      </c>
    </row>
    <row r="149" spans="1:8" ht="15.75" thickBot="1" x14ac:dyDescent="0.3">
      <c r="A149" s="349"/>
      <c r="B149" s="356"/>
      <c r="C149" s="25" t="s">
        <v>189</v>
      </c>
      <c r="D149" s="22"/>
      <c r="E149" s="22"/>
      <c r="F149" s="43"/>
      <c r="G149" s="82">
        <f>G150+G151</f>
        <v>0</v>
      </c>
      <c r="H149" s="39">
        <f>H150+H151+H152</f>
        <v>0</v>
      </c>
    </row>
    <row r="150" spans="1:8" x14ac:dyDescent="0.25">
      <c r="A150" s="349"/>
      <c r="B150" s="356"/>
      <c r="C150" s="22" t="s">
        <v>180</v>
      </c>
      <c r="D150" s="22"/>
      <c r="E150" s="22"/>
      <c r="F150" s="43"/>
      <c r="G150" s="41">
        <f>G112</f>
        <v>0</v>
      </c>
      <c r="H150" s="41">
        <f>H112</f>
        <v>0</v>
      </c>
    </row>
    <row r="151" spans="1:8" ht="15.75" customHeight="1" x14ac:dyDescent="0.25">
      <c r="A151" s="349"/>
      <c r="B151" s="356"/>
      <c r="C151" s="22" t="s">
        <v>188</v>
      </c>
      <c r="D151" s="22"/>
      <c r="E151" s="22"/>
      <c r="F151" s="43"/>
      <c r="G151" s="52">
        <f>G118</f>
        <v>0</v>
      </c>
      <c r="H151" s="52">
        <f>H118</f>
        <v>0</v>
      </c>
    </row>
    <row r="152" spans="1:8" ht="15.75" thickBot="1" x14ac:dyDescent="0.3">
      <c r="A152" s="350"/>
      <c r="B152" s="356"/>
      <c r="C152" s="22" t="s">
        <v>387</v>
      </c>
      <c r="D152" s="22"/>
      <c r="E152" s="22"/>
      <c r="F152" s="43"/>
      <c r="G152" s="51">
        <f>G124</f>
        <v>0</v>
      </c>
      <c r="H152" s="51">
        <f>H124</f>
        <v>0</v>
      </c>
    </row>
    <row r="153" spans="1:8" ht="19.5" thickBot="1" x14ac:dyDescent="0.35">
      <c r="A153" s="89" t="s">
        <v>30</v>
      </c>
      <c r="B153" s="49"/>
      <c r="C153" s="49"/>
      <c r="D153" s="49"/>
      <c r="E153" s="49"/>
      <c r="F153" s="49"/>
      <c r="G153" s="49"/>
      <c r="H153" s="90">
        <f>H207+H208</f>
        <v>0</v>
      </c>
    </row>
    <row r="154" spans="1:8" ht="15.75" thickBot="1" x14ac:dyDescent="0.3">
      <c r="A154" s="348" t="s">
        <v>31</v>
      </c>
      <c r="B154" s="35" t="s">
        <v>33</v>
      </c>
      <c r="C154" s="50"/>
      <c r="D154" s="50"/>
      <c r="E154" s="50"/>
      <c r="F154" s="50"/>
      <c r="G154" s="50">
        <f>G155+G161</f>
        <v>0</v>
      </c>
      <c r="H154" s="69">
        <f>H155+H161+H170</f>
        <v>0</v>
      </c>
    </row>
    <row r="155" spans="1:8" x14ac:dyDescent="0.25">
      <c r="A155" s="349"/>
      <c r="B155" s="352"/>
      <c r="C155" s="22" t="s">
        <v>180</v>
      </c>
      <c r="D155" s="38"/>
      <c r="E155" s="21"/>
      <c r="F155" s="21"/>
      <c r="G155" s="44">
        <f>COUNTIF(D157:D160,"nu")</f>
        <v>0</v>
      </c>
      <c r="H155" s="45">
        <f>SUMIF(D157:D160,"NU",H157:H160)</f>
        <v>0</v>
      </c>
    </row>
    <row r="156" spans="1:8" ht="15.75" thickBot="1" x14ac:dyDescent="0.3">
      <c r="A156" s="349"/>
      <c r="B156" s="352"/>
      <c r="C156" s="22" t="s">
        <v>181</v>
      </c>
      <c r="D156" s="38" t="s">
        <v>162</v>
      </c>
      <c r="E156" s="21" t="s">
        <v>9</v>
      </c>
      <c r="F156" s="21"/>
      <c r="G156" s="46">
        <f>COUNTIF(D157:D160,"da")</f>
        <v>0</v>
      </c>
      <c r="H156" s="47">
        <f>SUMIF(D157:D160,"DA",H157:H160)</f>
        <v>0</v>
      </c>
    </row>
    <row r="157" spans="1:8" x14ac:dyDescent="0.25">
      <c r="A157" s="349"/>
      <c r="B157" s="353"/>
      <c r="C157" s="29"/>
      <c r="D157" s="63"/>
      <c r="E157" s="63"/>
      <c r="F157" s="22"/>
      <c r="G157" s="22"/>
      <c r="H157" s="41">
        <f>(0.8*E157)</f>
        <v>0</v>
      </c>
    </row>
    <row r="158" spans="1:8" x14ac:dyDescent="0.25">
      <c r="A158" s="349"/>
      <c r="B158" s="353"/>
      <c r="C158" s="29"/>
      <c r="D158" s="63"/>
      <c r="E158" s="63"/>
      <c r="F158" s="22"/>
      <c r="G158" s="22"/>
      <c r="H158" s="41">
        <f>(0.8*E158)</f>
        <v>0</v>
      </c>
    </row>
    <row r="159" spans="1:8" x14ac:dyDescent="0.25">
      <c r="A159" s="349"/>
      <c r="B159" s="353"/>
      <c r="C159" s="29"/>
      <c r="D159" s="63"/>
      <c r="E159" s="63"/>
      <c r="F159" s="22"/>
      <c r="G159" s="22"/>
      <c r="H159" s="41">
        <f>(0.8*E159)</f>
        <v>0</v>
      </c>
    </row>
    <row r="160" spans="1:8" ht="15.75" thickBot="1" x14ac:dyDescent="0.3">
      <c r="A160" s="349"/>
      <c r="B160" s="353"/>
      <c r="C160" s="29"/>
      <c r="D160" s="63"/>
      <c r="E160" s="63"/>
      <c r="F160" s="22"/>
      <c r="G160" s="22"/>
      <c r="H160" s="41">
        <f>(0.8*E160)</f>
        <v>0</v>
      </c>
    </row>
    <row r="161" spans="1:8" x14ac:dyDescent="0.25">
      <c r="A161" s="349"/>
      <c r="B161" s="353"/>
      <c r="C161" s="22" t="s">
        <v>182</v>
      </c>
      <c r="D161" s="38"/>
      <c r="E161" s="22"/>
      <c r="F161" s="22"/>
      <c r="G161" s="44">
        <f>COUNTIF(D163:D169,"nu")</f>
        <v>0</v>
      </c>
      <c r="H161" s="45">
        <f>SUMIF(D163:D169,"NU",H163:H169)</f>
        <v>0</v>
      </c>
    </row>
    <row r="162" spans="1:8" ht="15.75" thickBot="1" x14ac:dyDescent="0.3">
      <c r="A162" s="349"/>
      <c r="B162" s="353"/>
      <c r="C162" s="22" t="s">
        <v>183</v>
      </c>
      <c r="D162" s="38" t="s">
        <v>162</v>
      </c>
      <c r="E162" s="22" t="s">
        <v>9</v>
      </c>
      <c r="F162" s="22" t="s">
        <v>10</v>
      </c>
      <c r="G162" s="46">
        <f>COUNTIF(D163:D169,"da")</f>
        <v>0</v>
      </c>
      <c r="H162" s="47">
        <f>SUMIF(D163:D169,"DA",H163:H169)</f>
        <v>0</v>
      </c>
    </row>
    <row r="163" spans="1:8" x14ac:dyDescent="0.25">
      <c r="A163" s="349"/>
      <c r="B163" s="353"/>
      <c r="C163" s="29"/>
      <c r="D163" s="63"/>
      <c r="E163" s="63"/>
      <c r="F163" s="63"/>
      <c r="G163" s="22"/>
      <c r="H163" s="41">
        <f t="shared" ref="H163:H169" si="6">IF(F163=0,0,(0.8*E163)/(F163))</f>
        <v>0</v>
      </c>
    </row>
    <row r="164" spans="1:8" x14ac:dyDescent="0.25">
      <c r="A164" s="349"/>
      <c r="B164" s="353"/>
      <c r="C164" s="29"/>
      <c r="D164" s="63"/>
      <c r="E164" s="63"/>
      <c r="F164" s="63"/>
      <c r="G164" s="22"/>
      <c r="H164" s="41">
        <f t="shared" si="6"/>
        <v>0</v>
      </c>
    </row>
    <row r="165" spans="1:8" x14ac:dyDescent="0.25">
      <c r="A165" s="349"/>
      <c r="B165" s="353"/>
      <c r="C165" s="29"/>
      <c r="D165" s="63"/>
      <c r="E165" s="63"/>
      <c r="F165" s="63"/>
      <c r="G165" s="22"/>
      <c r="H165" s="41">
        <f>IF(F165=0,0,(0.8*E165)/(F165))</f>
        <v>0</v>
      </c>
    </row>
    <row r="166" spans="1:8" x14ac:dyDescent="0.25">
      <c r="A166" s="349"/>
      <c r="B166" s="353"/>
      <c r="C166" s="29"/>
      <c r="D166" s="63"/>
      <c r="E166" s="63"/>
      <c r="F166" s="63"/>
      <c r="G166" s="22"/>
      <c r="H166" s="41">
        <f t="shared" si="6"/>
        <v>0</v>
      </c>
    </row>
    <row r="167" spans="1:8" x14ac:dyDescent="0.25">
      <c r="A167" s="349"/>
      <c r="B167" s="353"/>
      <c r="C167" s="29"/>
      <c r="D167" s="63"/>
      <c r="E167" s="63"/>
      <c r="F167" s="63"/>
      <c r="G167" s="22"/>
      <c r="H167" s="41">
        <f t="shared" si="6"/>
        <v>0</v>
      </c>
    </row>
    <row r="168" spans="1:8" x14ac:dyDescent="0.25">
      <c r="A168" s="349"/>
      <c r="B168" s="353"/>
      <c r="C168" s="29"/>
      <c r="D168" s="63"/>
      <c r="E168" s="63"/>
      <c r="F168" s="63"/>
      <c r="G168" s="22"/>
      <c r="H168" s="41">
        <f t="shared" si="6"/>
        <v>0</v>
      </c>
    </row>
    <row r="169" spans="1:8" ht="15.75" thickBot="1" x14ac:dyDescent="0.3">
      <c r="A169" s="349"/>
      <c r="B169" s="353"/>
      <c r="C169" s="29"/>
      <c r="D169" s="63"/>
      <c r="E169" s="63"/>
      <c r="F169" s="63"/>
      <c r="G169" s="22"/>
      <c r="H169" s="41">
        <f t="shared" si="6"/>
        <v>0</v>
      </c>
    </row>
    <row r="170" spans="1:8" x14ac:dyDescent="0.25">
      <c r="A170" s="349"/>
      <c r="B170" s="353"/>
      <c r="C170" s="22" t="s">
        <v>390</v>
      </c>
      <c r="D170" s="38"/>
      <c r="E170" s="22"/>
      <c r="F170" s="22"/>
      <c r="G170" s="44">
        <f>COUNTIF(D172:D179,"nu")</f>
        <v>0</v>
      </c>
      <c r="H170" s="45">
        <f>SUMIF(D172:D179,"NU",H172:H179)</f>
        <v>0</v>
      </c>
    </row>
    <row r="171" spans="1:8" ht="15.75" thickBot="1" x14ac:dyDescent="0.3">
      <c r="A171" s="349"/>
      <c r="B171" s="353"/>
      <c r="C171" s="22" t="s">
        <v>391</v>
      </c>
      <c r="D171" s="38" t="s">
        <v>162</v>
      </c>
      <c r="E171" s="22" t="s">
        <v>71</v>
      </c>
      <c r="F171" s="22"/>
      <c r="G171" s="46">
        <f>COUNTIF(D172:D179,"da")</f>
        <v>0</v>
      </c>
      <c r="H171" s="47">
        <f>SUMIF(D172:D179,"DA",H172:H179)</f>
        <v>0</v>
      </c>
    </row>
    <row r="172" spans="1:8" x14ac:dyDescent="0.25">
      <c r="A172" s="349"/>
      <c r="B172" s="353"/>
      <c r="C172" s="29"/>
      <c r="D172" s="63"/>
      <c r="E172" s="63"/>
      <c r="F172" s="22"/>
      <c r="G172" s="22"/>
      <c r="H172" s="41">
        <f t="shared" ref="H172:H179" si="7">E172*25/100</f>
        <v>0</v>
      </c>
    </row>
    <row r="173" spans="1:8" x14ac:dyDescent="0.25">
      <c r="A173" s="349"/>
      <c r="B173" s="354"/>
      <c r="C173" s="48"/>
      <c r="D173" s="65"/>
      <c r="E173" s="65"/>
      <c r="F173" s="42"/>
      <c r="G173" s="42"/>
      <c r="H173" s="41">
        <f t="shared" si="7"/>
        <v>0</v>
      </c>
    </row>
    <row r="174" spans="1:8" x14ac:dyDescent="0.25">
      <c r="A174" s="349"/>
      <c r="B174" s="354"/>
      <c r="C174" s="48"/>
      <c r="D174" s="65"/>
      <c r="E174" s="65"/>
      <c r="F174" s="42"/>
      <c r="G174" s="42"/>
      <c r="H174" s="41">
        <f t="shared" si="7"/>
        <v>0</v>
      </c>
    </row>
    <row r="175" spans="1:8" x14ac:dyDescent="0.25">
      <c r="A175" s="349"/>
      <c r="B175" s="354"/>
      <c r="C175" s="48"/>
      <c r="D175" s="65"/>
      <c r="E175" s="65"/>
      <c r="F175" s="42"/>
      <c r="G175" s="42"/>
      <c r="H175" s="41">
        <f t="shared" si="7"/>
        <v>0</v>
      </c>
    </row>
    <row r="176" spans="1:8" x14ac:dyDescent="0.25">
      <c r="A176" s="349"/>
      <c r="B176" s="354"/>
      <c r="C176" s="48"/>
      <c r="D176" s="65"/>
      <c r="E176" s="65"/>
      <c r="F176" s="42"/>
      <c r="G176" s="42"/>
      <c r="H176" s="41">
        <f t="shared" si="7"/>
        <v>0</v>
      </c>
    </row>
    <row r="177" spans="1:8" x14ac:dyDescent="0.25">
      <c r="A177" s="349"/>
      <c r="B177" s="354"/>
      <c r="C177" s="48"/>
      <c r="D177" s="65"/>
      <c r="E177" s="65"/>
      <c r="F177" s="42"/>
      <c r="G177" s="42"/>
      <c r="H177" s="41">
        <f t="shared" si="7"/>
        <v>0</v>
      </c>
    </row>
    <row r="178" spans="1:8" x14ac:dyDescent="0.25">
      <c r="A178" s="349"/>
      <c r="B178" s="354"/>
      <c r="C178" s="48"/>
      <c r="D178" s="65"/>
      <c r="E178" s="65"/>
      <c r="F178" s="42"/>
      <c r="G178" s="42"/>
      <c r="H178" s="41">
        <f t="shared" si="7"/>
        <v>0</v>
      </c>
    </row>
    <row r="179" spans="1:8" ht="15.75" thickBot="1" x14ac:dyDescent="0.3">
      <c r="A179" s="358"/>
      <c r="B179" s="354"/>
      <c r="C179" s="48"/>
      <c r="D179" s="65"/>
      <c r="E179" s="65"/>
      <c r="F179" s="42"/>
      <c r="G179" s="42"/>
      <c r="H179" s="41">
        <f t="shared" si="7"/>
        <v>0</v>
      </c>
    </row>
    <row r="180" spans="1:8" ht="15.75" thickBot="1" x14ac:dyDescent="0.3">
      <c r="A180" s="351" t="s">
        <v>32</v>
      </c>
      <c r="B180" s="23" t="s">
        <v>34</v>
      </c>
      <c r="C180" s="24"/>
      <c r="D180" s="24"/>
      <c r="E180" s="24"/>
      <c r="F180" s="24"/>
      <c r="G180" s="24">
        <f>G181+G187</f>
        <v>0</v>
      </c>
      <c r="H180" s="60">
        <f>H181+H187+H197</f>
        <v>0</v>
      </c>
    </row>
    <row r="181" spans="1:8" x14ac:dyDescent="0.25">
      <c r="A181" s="349"/>
      <c r="B181" s="352"/>
      <c r="C181" s="22" t="s">
        <v>192</v>
      </c>
      <c r="D181" s="38"/>
      <c r="E181" s="21"/>
      <c r="F181" s="21"/>
      <c r="G181" s="44">
        <f>COUNTIF(D183:D186,"nu")</f>
        <v>0</v>
      </c>
      <c r="H181" s="45">
        <f>SUMIF(D183:D186,"NU",H183:H186)</f>
        <v>0</v>
      </c>
    </row>
    <row r="182" spans="1:8" ht="15.75" thickBot="1" x14ac:dyDescent="0.3">
      <c r="A182" s="349"/>
      <c r="B182" s="352"/>
      <c r="C182" s="22" t="s">
        <v>193</v>
      </c>
      <c r="D182" s="38" t="s">
        <v>162</v>
      </c>
      <c r="E182" s="21" t="s">
        <v>9</v>
      </c>
      <c r="F182" s="21"/>
      <c r="G182" s="46">
        <f>COUNTIF(D183:D186,"da")</f>
        <v>0</v>
      </c>
      <c r="H182" s="47">
        <f>SUMIF(D183:D186,"DA",H183:H186)</f>
        <v>0</v>
      </c>
    </row>
    <row r="183" spans="1:8" x14ac:dyDescent="0.25">
      <c r="A183" s="349"/>
      <c r="B183" s="353"/>
      <c r="C183" s="29"/>
      <c r="D183" s="63"/>
      <c r="E183" s="63"/>
      <c r="F183" s="22"/>
      <c r="G183" s="22"/>
      <c r="H183" s="41">
        <f>(0.4*E183)</f>
        <v>0</v>
      </c>
    </row>
    <row r="184" spans="1:8" x14ac:dyDescent="0.25">
      <c r="A184" s="349"/>
      <c r="B184" s="353"/>
      <c r="C184" s="29"/>
      <c r="D184" s="63"/>
      <c r="E184" s="63"/>
      <c r="F184" s="22"/>
      <c r="G184" s="22"/>
      <c r="H184" s="41">
        <f>(0.4*E184)</f>
        <v>0</v>
      </c>
    </row>
    <row r="185" spans="1:8" x14ac:dyDescent="0.25">
      <c r="A185" s="349"/>
      <c r="B185" s="353"/>
      <c r="C185" s="29"/>
      <c r="D185" s="63"/>
      <c r="E185" s="63"/>
      <c r="F185" s="22"/>
      <c r="G185" s="22"/>
      <c r="H185" s="41">
        <f>(0.4*E185)</f>
        <v>0</v>
      </c>
    </row>
    <row r="186" spans="1:8" ht="15.75" thickBot="1" x14ac:dyDescent="0.3">
      <c r="A186" s="349"/>
      <c r="B186" s="353"/>
      <c r="C186" s="29"/>
      <c r="D186" s="63"/>
      <c r="E186" s="63"/>
      <c r="F186" s="22"/>
      <c r="G186" s="22"/>
      <c r="H186" s="41">
        <f>(0.4*E186)</f>
        <v>0</v>
      </c>
    </row>
    <row r="187" spans="1:8" x14ac:dyDescent="0.25">
      <c r="A187" s="349"/>
      <c r="B187" s="353"/>
      <c r="C187" s="22" t="s">
        <v>194</v>
      </c>
      <c r="D187" s="38"/>
      <c r="E187" s="22"/>
      <c r="F187" s="22"/>
      <c r="G187" s="44">
        <f>COUNTIF(D189:D196,"nu")</f>
        <v>0</v>
      </c>
      <c r="H187" s="45">
        <f>SUMIF(D189:D196,"NU",H189:H196)</f>
        <v>0</v>
      </c>
    </row>
    <row r="188" spans="1:8" ht="15.75" thickBot="1" x14ac:dyDescent="0.3">
      <c r="A188" s="349"/>
      <c r="B188" s="353"/>
      <c r="C188" s="22" t="s">
        <v>195</v>
      </c>
      <c r="D188" s="38" t="s">
        <v>162</v>
      </c>
      <c r="E188" s="22" t="s">
        <v>9</v>
      </c>
      <c r="F188" s="22" t="s">
        <v>10</v>
      </c>
      <c r="G188" s="46">
        <f>COUNTIF(D189:D196,"da")</f>
        <v>0</v>
      </c>
      <c r="H188" s="47">
        <f>SUMIF(D189:D196,"DA",H189:H196)</f>
        <v>0</v>
      </c>
    </row>
    <row r="189" spans="1:8" x14ac:dyDescent="0.25">
      <c r="A189" s="349"/>
      <c r="B189" s="353"/>
      <c r="C189" s="29"/>
      <c r="D189" s="63"/>
      <c r="E189" s="63"/>
      <c r="F189" s="63"/>
      <c r="G189" s="22"/>
      <c r="H189" s="41">
        <f t="shared" ref="H189:H196" si="8">IF(F189=0,0,(0.4*E189)/(F189))</f>
        <v>0</v>
      </c>
    </row>
    <row r="190" spans="1:8" x14ac:dyDescent="0.25">
      <c r="A190" s="349"/>
      <c r="B190" s="353"/>
      <c r="C190" s="29"/>
      <c r="D190" s="63"/>
      <c r="E190" s="63"/>
      <c r="F190" s="63"/>
      <c r="G190" s="22"/>
      <c r="H190" s="41">
        <f t="shared" si="8"/>
        <v>0</v>
      </c>
    </row>
    <row r="191" spans="1:8" x14ac:dyDescent="0.25">
      <c r="A191" s="349"/>
      <c r="B191" s="353"/>
      <c r="C191" s="29"/>
      <c r="D191" s="63"/>
      <c r="E191" s="63"/>
      <c r="F191" s="63"/>
      <c r="G191" s="22"/>
      <c r="H191" s="41">
        <f t="shared" si="8"/>
        <v>0</v>
      </c>
    </row>
    <row r="192" spans="1:8" x14ac:dyDescent="0.25">
      <c r="A192" s="349"/>
      <c r="B192" s="353"/>
      <c r="C192" s="29"/>
      <c r="D192" s="63"/>
      <c r="E192" s="63"/>
      <c r="F192" s="63"/>
      <c r="G192" s="22"/>
      <c r="H192" s="41">
        <f t="shared" si="8"/>
        <v>0</v>
      </c>
    </row>
    <row r="193" spans="1:8" x14ac:dyDescent="0.25">
      <c r="A193" s="349"/>
      <c r="B193" s="353"/>
      <c r="C193" s="29"/>
      <c r="D193" s="63"/>
      <c r="E193" s="63"/>
      <c r="F193" s="63"/>
      <c r="G193" s="22"/>
      <c r="H193" s="41">
        <f t="shared" si="8"/>
        <v>0</v>
      </c>
    </row>
    <row r="194" spans="1:8" x14ac:dyDescent="0.25">
      <c r="A194" s="349"/>
      <c r="B194" s="353"/>
      <c r="C194" s="29"/>
      <c r="D194" s="63"/>
      <c r="E194" s="63"/>
      <c r="F194" s="63"/>
      <c r="G194" s="22"/>
      <c r="H194" s="41">
        <f t="shared" si="8"/>
        <v>0</v>
      </c>
    </row>
    <row r="195" spans="1:8" x14ac:dyDescent="0.25">
      <c r="A195" s="349"/>
      <c r="B195" s="353"/>
      <c r="C195" s="29"/>
      <c r="D195" s="63"/>
      <c r="E195" s="63"/>
      <c r="F195" s="63"/>
      <c r="G195" s="22"/>
      <c r="H195" s="41">
        <f t="shared" si="8"/>
        <v>0</v>
      </c>
    </row>
    <row r="196" spans="1:8" ht="15.75" thickBot="1" x14ac:dyDescent="0.3">
      <c r="A196" s="349"/>
      <c r="B196" s="353"/>
      <c r="C196" s="29"/>
      <c r="D196" s="63"/>
      <c r="E196" s="63"/>
      <c r="F196" s="63"/>
      <c r="G196" s="22"/>
      <c r="H196" s="41">
        <f t="shared" si="8"/>
        <v>0</v>
      </c>
    </row>
    <row r="197" spans="1:8" x14ac:dyDescent="0.25">
      <c r="A197" s="349"/>
      <c r="B197" s="353"/>
      <c r="C197" s="22" t="s">
        <v>390</v>
      </c>
      <c r="D197" s="38"/>
      <c r="E197" s="22"/>
      <c r="F197" s="22"/>
      <c r="G197" s="44">
        <f>COUNTIF(D199:D206,"nu")</f>
        <v>0</v>
      </c>
      <c r="H197" s="45">
        <f>SUMIF(D199:D206,"NU",H199:H206)</f>
        <v>0</v>
      </c>
    </row>
    <row r="198" spans="1:8" ht="15.75" thickBot="1" x14ac:dyDescent="0.3">
      <c r="A198" s="349"/>
      <c r="B198" s="353"/>
      <c r="C198" s="22" t="s">
        <v>391</v>
      </c>
      <c r="D198" s="38" t="s">
        <v>162</v>
      </c>
      <c r="E198" s="22" t="s">
        <v>71</v>
      </c>
      <c r="F198" s="22"/>
      <c r="G198" s="46">
        <f>COUNTIF(D199:D206,"da")</f>
        <v>0</v>
      </c>
      <c r="H198" s="47">
        <f>SUMIF(D199:D206,"DA",H199:H206)</f>
        <v>0</v>
      </c>
    </row>
    <row r="199" spans="1:8" x14ac:dyDescent="0.25">
      <c r="A199" s="349"/>
      <c r="B199" s="353"/>
      <c r="C199" s="29"/>
      <c r="D199" s="63"/>
      <c r="E199" s="63"/>
      <c r="F199" s="22"/>
      <c r="G199" s="22"/>
      <c r="H199" s="41">
        <f>E199*25/100</f>
        <v>0</v>
      </c>
    </row>
    <row r="200" spans="1:8" x14ac:dyDescent="0.25">
      <c r="A200" s="349"/>
      <c r="B200" s="354"/>
      <c r="C200" s="48"/>
      <c r="D200" s="65"/>
      <c r="E200" s="65"/>
      <c r="F200" s="42"/>
      <c r="G200" s="42"/>
      <c r="H200" s="41">
        <f t="shared" ref="H200:H205" si="9">E200*25/100</f>
        <v>0</v>
      </c>
    </row>
    <row r="201" spans="1:8" x14ac:dyDescent="0.25">
      <c r="A201" s="349"/>
      <c r="B201" s="354"/>
      <c r="C201" s="48"/>
      <c r="D201" s="65"/>
      <c r="E201" s="65"/>
      <c r="F201" s="42"/>
      <c r="G201" s="42"/>
      <c r="H201" s="41">
        <f t="shared" si="9"/>
        <v>0</v>
      </c>
    </row>
    <row r="202" spans="1:8" x14ac:dyDescent="0.25">
      <c r="A202" s="349"/>
      <c r="B202" s="354"/>
      <c r="C202" s="48"/>
      <c r="D202" s="65"/>
      <c r="E202" s="65"/>
      <c r="F202" s="42"/>
      <c r="G202" s="42"/>
      <c r="H202" s="41">
        <f t="shared" si="9"/>
        <v>0</v>
      </c>
    </row>
    <row r="203" spans="1:8" x14ac:dyDescent="0.25">
      <c r="A203" s="349"/>
      <c r="B203" s="354"/>
      <c r="C203" s="48"/>
      <c r="D203" s="65"/>
      <c r="E203" s="65"/>
      <c r="F203" s="42"/>
      <c r="G203" s="42"/>
      <c r="H203" s="41">
        <f t="shared" si="9"/>
        <v>0</v>
      </c>
    </row>
    <row r="204" spans="1:8" x14ac:dyDescent="0.25">
      <c r="A204" s="349"/>
      <c r="B204" s="354"/>
      <c r="C204" s="48"/>
      <c r="D204" s="65"/>
      <c r="E204" s="65"/>
      <c r="F204" s="42"/>
      <c r="G204" s="42"/>
      <c r="H204" s="41">
        <f t="shared" si="9"/>
        <v>0</v>
      </c>
    </row>
    <row r="205" spans="1:8" x14ac:dyDescent="0.25">
      <c r="A205" s="349"/>
      <c r="B205" s="354"/>
      <c r="C205" s="48"/>
      <c r="D205" s="65"/>
      <c r="E205" s="65"/>
      <c r="F205" s="42"/>
      <c r="G205" s="42"/>
      <c r="H205" s="41">
        <f t="shared" si="9"/>
        <v>0</v>
      </c>
    </row>
    <row r="206" spans="1:8" ht="15.75" thickBot="1" x14ac:dyDescent="0.3">
      <c r="A206" s="350"/>
      <c r="B206" s="354"/>
      <c r="C206" s="48"/>
      <c r="D206" s="65"/>
      <c r="E206" s="65"/>
      <c r="F206" s="42"/>
      <c r="G206" s="42"/>
      <c r="H206" s="41">
        <f>E206*25/100</f>
        <v>0</v>
      </c>
    </row>
    <row r="207" spans="1:8" ht="32.25" customHeight="1" thickBot="1" x14ac:dyDescent="0.3">
      <c r="A207" s="340" t="s">
        <v>304</v>
      </c>
      <c r="B207" s="341"/>
      <c r="C207" s="341"/>
      <c r="D207" s="341"/>
      <c r="E207" s="342"/>
      <c r="F207" s="49"/>
      <c r="G207" s="49"/>
      <c r="H207" s="137">
        <f>IF(G8&lt;=10,H154+H180,(H154+H180)/($G$8-5)*5)</f>
        <v>0</v>
      </c>
    </row>
    <row r="208" spans="1:8" ht="15.75" thickBot="1" x14ac:dyDescent="0.3">
      <c r="A208" s="348" t="s">
        <v>35</v>
      </c>
      <c r="B208" s="23" t="s">
        <v>36</v>
      </c>
      <c r="C208" s="24"/>
      <c r="D208" s="24"/>
      <c r="E208" s="24"/>
      <c r="F208" s="24"/>
      <c r="G208" s="85">
        <f>G209+G213</f>
        <v>0</v>
      </c>
      <c r="H208" s="139">
        <f>H209+H213</f>
        <v>0</v>
      </c>
    </row>
    <row r="209" spans="1:8" ht="15.75" thickBot="1" x14ac:dyDescent="0.3">
      <c r="A209" s="349"/>
      <c r="B209" s="345" t="s">
        <v>199</v>
      </c>
      <c r="C209" s="10" t="s">
        <v>37</v>
      </c>
      <c r="D209" s="21"/>
      <c r="E209" s="21"/>
      <c r="F209" s="62"/>
      <c r="G209" s="84">
        <f>G210+G211</f>
        <v>0</v>
      </c>
      <c r="H209" s="39">
        <f>H210+H211+H212</f>
        <v>0</v>
      </c>
    </row>
    <row r="210" spans="1:8" x14ac:dyDescent="0.25">
      <c r="A210" s="349"/>
      <c r="B210" s="346"/>
      <c r="C210" s="22" t="s">
        <v>181</v>
      </c>
      <c r="D210" s="22"/>
      <c r="E210" s="22"/>
      <c r="F210" s="22"/>
      <c r="G210" s="61">
        <f>G156</f>
        <v>0</v>
      </c>
      <c r="H210" s="61">
        <f>H156</f>
        <v>0</v>
      </c>
    </row>
    <row r="211" spans="1:8" x14ac:dyDescent="0.25">
      <c r="A211" s="349"/>
      <c r="B211" s="346"/>
      <c r="C211" s="22" t="s">
        <v>183</v>
      </c>
      <c r="D211" s="22"/>
      <c r="E211" s="22"/>
      <c r="F211" s="22"/>
      <c r="G211" s="52">
        <f>G162</f>
        <v>0</v>
      </c>
      <c r="H211" s="52">
        <f>H162</f>
        <v>0</v>
      </c>
    </row>
    <row r="212" spans="1:8" ht="15.75" thickBot="1" x14ac:dyDescent="0.3">
      <c r="A212" s="349"/>
      <c r="B212" s="346"/>
      <c r="C212" s="22" t="s">
        <v>391</v>
      </c>
      <c r="D212" s="22"/>
      <c r="E212" s="22"/>
      <c r="F212" s="22"/>
      <c r="G212" s="33">
        <f>G171</f>
        <v>0</v>
      </c>
      <c r="H212" s="33">
        <f>H171</f>
        <v>0</v>
      </c>
    </row>
    <row r="213" spans="1:8" ht="15.75" thickBot="1" x14ac:dyDescent="0.3">
      <c r="A213" s="349"/>
      <c r="B213" s="346" t="s">
        <v>200</v>
      </c>
      <c r="C213" s="25" t="s">
        <v>196</v>
      </c>
      <c r="D213" s="22"/>
      <c r="E213" s="22"/>
      <c r="F213" s="22"/>
      <c r="G213" s="82">
        <f>G214+G215</f>
        <v>0</v>
      </c>
      <c r="H213" s="39">
        <f>H214+H215+H216</f>
        <v>0</v>
      </c>
    </row>
    <row r="214" spans="1:8" x14ac:dyDescent="0.25">
      <c r="A214" s="349"/>
      <c r="B214" s="346"/>
      <c r="C214" s="22" t="s">
        <v>193</v>
      </c>
      <c r="D214" s="22"/>
      <c r="E214" s="22"/>
      <c r="F214" s="22"/>
      <c r="G214" s="33">
        <f>G182</f>
        <v>0</v>
      </c>
      <c r="H214" s="33">
        <f>H182</f>
        <v>0</v>
      </c>
    </row>
    <row r="215" spans="1:8" x14ac:dyDescent="0.25">
      <c r="A215" s="349"/>
      <c r="B215" s="346"/>
      <c r="C215" s="22" t="s">
        <v>195</v>
      </c>
      <c r="D215" s="22"/>
      <c r="E215" s="22"/>
      <c r="F215" s="22"/>
      <c r="G215" s="52">
        <f>G188</f>
        <v>0</v>
      </c>
      <c r="H215" s="52">
        <f>H188</f>
        <v>0</v>
      </c>
    </row>
    <row r="216" spans="1:8" ht="15.75" thickBot="1" x14ac:dyDescent="0.3">
      <c r="A216" s="350"/>
      <c r="B216" s="347"/>
      <c r="C216" s="53" t="s">
        <v>391</v>
      </c>
      <c r="D216" s="53"/>
      <c r="E216" s="53"/>
      <c r="F216" s="53"/>
      <c r="G216" s="54">
        <f>G198</f>
        <v>0</v>
      </c>
      <c r="H216" s="54">
        <f>H198</f>
        <v>0</v>
      </c>
    </row>
    <row r="218" spans="1:8" x14ac:dyDescent="0.25">
      <c r="B218" s="200"/>
    </row>
  </sheetData>
  <sheetProtection password="CBBD" sheet="1" objects="1" scenarios="1" formatCells="0" formatColumns="0" formatRows="0" insertRows="0"/>
  <mergeCells count="27">
    <mergeCell ref="A129:E129"/>
    <mergeCell ref="A13:A60"/>
    <mergeCell ref="B42:B60"/>
    <mergeCell ref="B14:B41"/>
    <mergeCell ref="A61:A79"/>
    <mergeCell ref="B62:B79"/>
    <mergeCell ref="A207:E207"/>
    <mergeCell ref="A10:B10"/>
    <mergeCell ref="B209:B212"/>
    <mergeCell ref="B213:B216"/>
    <mergeCell ref="A208:A216"/>
    <mergeCell ref="A180:A206"/>
    <mergeCell ref="B181:B206"/>
    <mergeCell ref="A80:A128"/>
    <mergeCell ref="B81:B109"/>
    <mergeCell ref="B140:B143"/>
    <mergeCell ref="B131:B139"/>
    <mergeCell ref="B144:B152"/>
    <mergeCell ref="A154:A179"/>
    <mergeCell ref="B155:B179"/>
    <mergeCell ref="B110:B128"/>
    <mergeCell ref="A130:A152"/>
    <mergeCell ref="A1:H1"/>
    <mergeCell ref="A7:H7"/>
    <mergeCell ref="A3:H3"/>
    <mergeCell ref="A6:H6"/>
    <mergeCell ref="A4:H4"/>
  </mergeCells>
  <phoneticPr fontId="2" type="noConversion"/>
  <pageMargins left="0.31496062992125984" right="0.31496062992125984" top="0.35433070866141736" bottom="0.35433070866141736" header="0.31496062992125984" footer="0.31496062992125984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9" r:id="rId10">
          <objectPr defaultSize="0" autoPict="0" r:id="rId11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29" r:id="rId10"/>
      </mc:Fallback>
    </mc:AlternateContent>
    <mc:AlternateContent xmlns:mc="http://schemas.openxmlformats.org/markup-compatibility/2006">
      <mc:Choice Requires="x14">
        <oleObject progId="Equation.3" shapeId="1030" r:id="rId12">
          <objectPr defaultSize="0" autoPict="0" r:id="rId13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30" r:id="rId12"/>
      </mc:Fallback>
    </mc:AlternateContent>
    <mc:AlternateContent xmlns:mc="http://schemas.openxmlformats.org/markup-compatibility/2006">
      <mc:Choice Requires="x14">
        <oleObject progId="Equation.3" shapeId="1031" r:id="rId14">
          <objectPr defaultSize="0" autoPict="0" r:id="rId15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31" r:id="rId14"/>
      </mc:Fallback>
    </mc:AlternateContent>
    <mc:AlternateContent xmlns:mc="http://schemas.openxmlformats.org/markup-compatibility/2006">
      <mc:Choice Requires="x14">
        <oleObject progId="Equation.3" shapeId="1032" r:id="rId16">
          <objectPr defaultSize="0" autoPict="0" r:id="rId17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32" r:id="rId16"/>
      </mc:Fallback>
    </mc:AlternateContent>
    <mc:AlternateContent xmlns:mc="http://schemas.openxmlformats.org/markup-compatibility/2006">
      <mc:Choice Requires="x14">
        <oleObject progId="Equation.3" shapeId="1033" r:id="rId18">
          <objectPr defaultSize="0" autoPict="0" r:id="rId19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33" r:id="rId18"/>
      </mc:Fallback>
    </mc:AlternateContent>
    <mc:AlternateContent xmlns:mc="http://schemas.openxmlformats.org/markup-compatibility/2006">
      <mc:Choice Requires="x14">
        <oleObject progId="Equation.3" shapeId="1034" r:id="rId20">
          <objectPr defaultSize="0" autoPict="0" r:id="rId21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34" r:id="rId20"/>
      </mc:Fallback>
    </mc:AlternateContent>
    <mc:AlternateContent xmlns:mc="http://schemas.openxmlformats.org/markup-compatibility/2006">
      <mc:Choice Requires="x14">
        <oleObject progId="Equation.3" shapeId="1035" r:id="rId22">
          <objectPr defaultSize="0" autoPict="0" r:id="rId23">
            <anchor moveWithCells="1" sizeWithCells="1">
              <from>
                <xdr:col>3</xdr:col>
                <xdr:colOff>0</xdr:colOff>
                <xdr:row>216</xdr:row>
                <xdr:rowOff>0</xdr:rowOff>
              </from>
              <to>
                <xdr:col>3</xdr:col>
                <xdr:colOff>0</xdr:colOff>
                <xdr:row>216</xdr:row>
                <xdr:rowOff>0</xdr:rowOff>
              </to>
            </anchor>
          </objectPr>
        </oleObject>
      </mc:Choice>
      <mc:Fallback>
        <oleObject progId="Equation.3" shapeId="1035" r:id="rId22"/>
      </mc:Fallback>
    </mc:AlternateContent>
    <mc:AlternateContent xmlns:mc="http://schemas.openxmlformats.org/markup-compatibility/2006">
      <mc:Choice Requires="x14">
        <oleObject progId="Equation.3" shapeId="1056" r:id="rId24">
          <objectPr defaultSize="0" autoPict="0" r:id="rId25">
            <anchor moveWithCells="1" sizeWithCells="1">
              <from>
                <xdr:col>2</xdr:col>
                <xdr:colOff>2295525</xdr:colOff>
                <xdr:row>216</xdr:row>
                <xdr:rowOff>0</xdr:rowOff>
              </from>
              <to>
                <xdr:col>2</xdr:col>
                <xdr:colOff>3867150</xdr:colOff>
                <xdr:row>216</xdr:row>
                <xdr:rowOff>0</xdr:rowOff>
              </to>
            </anchor>
          </objectPr>
        </oleObject>
      </mc:Choice>
      <mc:Fallback>
        <oleObject progId="Equation.3" shapeId="1056" r:id="rId24"/>
      </mc:Fallback>
    </mc:AlternateContent>
    <mc:AlternateContent xmlns:mc="http://schemas.openxmlformats.org/markup-compatibility/2006">
      <mc:Choice Requires="x14">
        <oleObject progId="Equation.3" shapeId="1057" r:id="rId26">
          <objectPr defaultSize="0" autoPict="0" r:id="rId27">
            <anchor moveWithCells="1" sizeWithCells="1">
              <from>
                <xdr:col>2</xdr:col>
                <xdr:colOff>2409825</xdr:colOff>
                <xdr:row>216</xdr:row>
                <xdr:rowOff>0</xdr:rowOff>
              </from>
              <to>
                <xdr:col>2</xdr:col>
                <xdr:colOff>3790950</xdr:colOff>
                <xdr:row>216</xdr:row>
                <xdr:rowOff>0</xdr:rowOff>
              </to>
            </anchor>
          </objectPr>
        </oleObject>
      </mc:Choice>
      <mc:Fallback>
        <oleObject progId="Equation.3" shapeId="1057" r:id="rId26"/>
      </mc:Fallback>
    </mc:AlternateContent>
    <mc:AlternateContent xmlns:mc="http://schemas.openxmlformats.org/markup-compatibility/2006">
      <mc:Choice Requires="x14">
        <oleObject progId="Equation.3" shapeId="1058" r:id="rId28">
          <objectPr defaultSize="0" autoPict="0" r:id="rId29">
            <anchor moveWithCells="1" sizeWithCells="1">
              <from>
                <xdr:col>2</xdr:col>
                <xdr:colOff>2238375</xdr:colOff>
                <xdr:row>216</xdr:row>
                <xdr:rowOff>0</xdr:rowOff>
              </from>
              <to>
                <xdr:col>2</xdr:col>
                <xdr:colOff>3752850</xdr:colOff>
                <xdr:row>216</xdr:row>
                <xdr:rowOff>0</xdr:rowOff>
              </to>
            </anchor>
          </objectPr>
        </oleObject>
      </mc:Choice>
      <mc:Fallback>
        <oleObject progId="Equation.3" shapeId="1058" r:id="rId28"/>
      </mc:Fallback>
    </mc:AlternateContent>
    <mc:AlternateContent xmlns:mc="http://schemas.openxmlformats.org/markup-compatibility/2006">
      <mc:Choice Requires="x14">
        <oleObject progId="Equation.3" shapeId="1059" r:id="rId30">
          <objectPr defaultSize="0" autoPict="0" r:id="rId31">
            <anchor moveWithCells="1" sizeWithCells="1">
              <from>
                <xdr:col>2</xdr:col>
                <xdr:colOff>2333625</xdr:colOff>
                <xdr:row>216</xdr:row>
                <xdr:rowOff>0</xdr:rowOff>
              </from>
              <to>
                <xdr:col>2</xdr:col>
                <xdr:colOff>3724275</xdr:colOff>
                <xdr:row>216</xdr:row>
                <xdr:rowOff>0</xdr:rowOff>
              </to>
            </anchor>
          </objectPr>
        </oleObject>
      </mc:Choice>
      <mc:Fallback>
        <oleObject progId="Equation.3" shapeId="1059" r:id="rId30"/>
      </mc:Fallback>
    </mc:AlternateContent>
    <mc:AlternateContent xmlns:mc="http://schemas.openxmlformats.org/markup-compatibility/2006">
      <mc:Choice Requires="x14">
        <oleObject progId="Equation.3" shapeId="1060" r:id="rId32">
          <objectPr defaultSize="0" autoPict="0" r:id="rId33">
            <anchor moveWithCells="1" sizeWithCells="1">
              <from>
                <xdr:col>2</xdr:col>
                <xdr:colOff>2257425</xdr:colOff>
                <xdr:row>216</xdr:row>
                <xdr:rowOff>0</xdr:rowOff>
              </from>
              <to>
                <xdr:col>2</xdr:col>
                <xdr:colOff>3867150</xdr:colOff>
                <xdr:row>216</xdr:row>
                <xdr:rowOff>0</xdr:rowOff>
              </to>
            </anchor>
          </objectPr>
        </oleObject>
      </mc:Choice>
      <mc:Fallback>
        <oleObject progId="Equation.3" shapeId="1060" r:id="rId32"/>
      </mc:Fallback>
    </mc:AlternateContent>
    <mc:AlternateContent xmlns:mc="http://schemas.openxmlformats.org/markup-compatibility/2006">
      <mc:Choice Requires="x14">
        <oleObject progId="Equation.3" shapeId="1061" r:id="rId34">
          <objectPr defaultSize="0" autoPict="0" r:id="rId35">
            <anchor moveWithCells="1" sizeWithCells="1">
              <from>
                <xdr:col>2</xdr:col>
                <xdr:colOff>2343150</xdr:colOff>
                <xdr:row>216</xdr:row>
                <xdr:rowOff>0</xdr:rowOff>
              </from>
              <to>
                <xdr:col>2</xdr:col>
                <xdr:colOff>3838575</xdr:colOff>
                <xdr:row>216</xdr:row>
                <xdr:rowOff>0</xdr:rowOff>
              </to>
            </anchor>
          </objectPr>
        </oleObject>
      </mc:Choice>
      <mc:Fallback>
        <oleObject progId="Equation.3" shapeId="1061" r:id="rId34"/>
      </mc:Fallback>
    </mc:AlternateContent>
    <mc:AlternateContent xmlns:mc="http://schemas.openxmlformats.org/markup-compatibility/2006">
      <mc:Choice Requires="x14">
        <oleObject progId="Equation.3" shapeId="1062" r:id="rId36">
          <objectPr defaultSize="0" autoPict="0" r:id="rId37">
            <anchor moveWithCells="1" sizeWithCells="1">
              <from>
                <xdr:col>2</xdr:col>
                <xdr:colOff>2171700</xdr:colOff>
                <xdr:row>216</xdr:row>
                <xdr:rowOff>0</xdr:rowOff>
              </from>
              <to>
                <xdr:col>2</xdr:col>
                <xdr:colOff>3867150</xdr:colOff>
                <xdr:row>216</xdr:row>
                <xdr:rowOff>0</xdr:rowOff>
              </to>
            </anchor>
          </objectPr>
        </oleObject>
      </mc:Choice>
      <mc:Fallback>
        <oleObject progId="Equation.3" shapeId="1062" r:id="rId36"/>
      </mc:Fallback>
    </mc:AlternateContent>
    <mc:AlternateContent xmlns:mc="http://schemas.openxmlformats.org/markup-compatibility/2006">
      <mc:Choice Requires="x14">
        <oleObject progId="Equation.3" shapeId="1063" r:id="rId38">
          <objectPr defaultSize="0" autoPict="0" r:id="rId39">
            <anchor moveWithCells="1" sizeWithCells="1">
              <from>
                <xdr:col>2</xdr:col>
                <xdr:colOff>2247900</xdr:colOff>
                <xdr:row>216</xdr:row>
                <xdr:rowOff>0</xdr:rowOff>
              </from>
              <to>
                <xdr:col>2</xdr:col>
                <xdr:colOff>3867150</xdr:colOff>
                <xdr:row>216</xdr:row>
                <xdr:rowOff>0</xdr:rowOff>
              </to>
            </anchor>
          </objectPr>
        </oleObject>
      </mc:Choice>
      <mc:Fallback>
        <oleObject progId="Equation.3" shapeId="1063" r:id="rId38"/>
      </mc:Fallback>
    </mc:AlternateContent>
    <mc:AlternateContent xmlns:mc="http://schemas.openxmlformats.org/markup-compatibility/2006">
      <mc:Choice Requires="x14">
        <oleObject progId="Equation.3" shapeId="1064" r:id="rId40">
          <objectPr defaultSize="0" autoPict="0" r:id="rId41">
            <anchor moveWithCells="1" sizeWithCells="1">
              <from>
                <xdr:col>2</xdr:col>
                <xdr:colOff>1885950</xdr:colOff>
                <xdr:row>216</xdr:row>
                <xdr:rowOff>0</xdr:rowOff>
              </from>
              <to>
                <xdr:col>2</xdr:col>
                <xdr:colOff>3867150</xdr:colOff>
                <xdr:row>216</xdr:row>
                <xdr:rowOff>0</xdr:rowOff>
              </to>
            </anchor>
          </objectPr>
        </oleObject>
      </mc:Choice>
      <mc:Fallback>
        <oleObject progId="Equation.3" shapeId="1064" r:id="rId40"/>
      </mc:Fallback>
    </mc:AlternateContent>
    <mc:AlternateContent xmlns:mc="http://schemas.openxmlformats.org/markup-compatibility/2006">
      <mc:Choice Requires="x14">
        <oleObject progId="Equation.3" shapeId="1065" r:id="rId42">
          <objectPr defaultSize="0" autoPict="0" r:id="rId43">
            <anchor moveWithCells="1" sizeWithCells="1">
              <from>
                <xdr:col>2</xdr:col>
                <xdr:colOff>1905000</xdr:colOff>
                <xdr:row>216</xdr:row>
                <xdr:rowOff>0</xdr:rowOff>
              </from>
              <to>
                <xdr:col>2</xdr:col>
                <xdr:colOff>3867150</xdr:colOff>
                <xdr:row>216</xdr:row>
                <xdr:rowOff>0</xdr:rowOff>
              </to>
            </anchor>
          </objectPr>
        </oleObject>
      </mc:Choice>
      <mc:Fallback>
        <oleObject progId="Equation.3" shapeId="1065" r:id="rId4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7"/>
  <sheetViews>
    <sheetView workbookViewId="0">
      <selection activeCell="K16" sqref="K16"/>
    </sheetView>
  </sheetViews>
  <sheetFormatPr defaultRowHeight="15" x14ac:dyDescent="0.25"/>
  <cols>
    <col min="1" max="2" width="7.7109375" style="36" customWidth="1"/>
    <col min="3" max="3" width="63.140625" style="36" customWidth="1"/>
    <col min="4" max="4" width="15.140625" style="36" customWidth="1"/>
    <col min="5" max="5" width="7.85546875" style="36" customWidth="1"/>
    <col min="6" max="6" width="10.85546875" style="36" bestFit="1" customWidth="1"/>
    <col min="7" max="7" width="7.7109375" style="36" customWidth="1"/>
    <col min="8" max="8" width="11.7109375" style="169" customWidth="1"/>
    <col min="9" max="10" width="9.140625" style="36"/>
    <col min="11" max="11" width="23.5703125" style="36" bestFit="1" customWidth="1"/>
    <col min="12" max="16384" width="9.140625" style="36"/>
  </cols>
  <sheetData>
    <row r="1" spans="1:10" ht="15.75" x14ac:dyDescent="0.25">
      <c r="A1" s="338" t="str">
        <f>'fisa word'!A1:C1</f>
        <v>UNIVERSITATEA PENTRU STIINTELE VIETII "ION IONESCU DE LA BRAD" IASI</v>
      </c>
      <c r="B1" s="338"/>
      <c r="C1" s="338"/>
      <c r="D1" s="338"/>
      <c r="E1" s="338"/>
      <c r="F1" s="338"/>
      <c r="G1" s="338"/>
      <c r="H1" s="338"/>
    </row>
    <row r="2" spans="1:10" ht="15.75" x14ac:dyDescent="0.25">
      <c r="A2" s="268"/>
      <c r="B2" s="268"/>
      <c r="C2" s="268"/>
      <c r="D2" s="268"/>
      <c r="E2" s="268"/>
      <c r="F2" s="268"/>
      <c r="G2" s="268"/>
      <c r="H2" s="268"/>
    </row>
    <row r="3" spans="1:10" ht="15.75" x14ac:dyDescent="0.25">
      <c r="A3" s="339">
        <f>'fisa word'!A3:C3</f>
        <v>0</v>
      </c>
      <c r="B3" s="339"/>
      <c r="C3" s="339"/>
      <c r="D3" s="339"/>
      <c r="E3" s="339"/>
      <c r="F3" s="339"/>
      <c r="G3" s="339"/>
      <c r="H3" s="339"/>
    </row>
    <row r="4" spans="1:10" ht="15.75" x14ac:dyDescent="0.25">
      <c r="A4" s="339">
        <f>'fisa word'!A4:C4</f>
        <v>0</v>
      </c>
      <c r="B4" s="339"/>
      <c r="C4" s="339"/>
      <c r="D4" s="339"/>
      <c r="E4" s="339"/>
      <c r="F4" s="339"/>
      <c r="G4" s="339"/>
      <c r="H4" s="339"/>
    </row>
    <row r="5" spans="1:10" ht="15.75" x14ac:dyDescent="0.25">
      <c r="A5" s="268"/>
      <c r="B5" s="268"/>
      <c r="C5" s="268"/>
      <c r="D5" s="268"/>
      <c r="E5" s="268"/>
      <c r="F5" s="268"/>
      <c r="G5" s="268"/>
      <c r="H5" s="268"/>
    </row>
    <row r="6" spans="1:10" ht="15.75" x14ac:dyDescent="0.25">
      <c r="A6" s="338" t="str">
        <f>'fisa word'!A6:C6</f>
        <v>NUME PRENUME</v>
      </c>
      <c r="B6" s="338"/>
      <c r="C6" s="338"/>
      <c r="D6" s="338"/>
      <c r="E6" s="338"/>
      <c r="F6" s="338"/>
      <c r="G6" s="338"/>
      <c r="H6" s="338"/>
    </row>
    <row r="7" spans="1:10" ht="16.5" thickBot="1" x14ac:dyDescent="0.3">
      <c r="A7" s="339">
        <f>'fisa word'!A7:C7</f>
        <v>0</v>
      </c>
      <c r="B7" s="339"/>
      <c r="C7" s="339"/>
      <c r="D7" s="339"/>
      <c r="E7" s="339"/>
      <c r="F7" s="339"/>
      <c r="G7" s="339"/>
      <c r="H7" s="339"/>
    </row>
    <row r="8" spans="1:10" ht="16.5" thickBot="1" x14ac:dyDescent="0.3">
      <c r="A8" s="235"/>
      <c r="B8" s="234"/>
      <c r="C8" s="233"/>
      <c r="D8" s="164" t="s">
        <v>0</v>
      </c>
      <c r="E8" s="164"/>
      <c r="F8" s="164"/>
      <c r="G8" s="166">
        <f>'fisa word'!H9</f>
        <v>5</v>
      </c>
      <c r="H8" s="165" t="s">
        <v>1</v>
      </c>
    </row>
    <row r="9" spans="1:10" ht="18.75" x14ac:dyDescent="0.3">
      <c r="A9" s="164"/>
      <c r="B9" s="164"/>
      <c r="C9" s="163"/>
      <c r="D9" s="164"/>
      <c r="E9" s="164"/>
      <c r="F9" s="164"/>
      <c r="G9" s="164"/>
      <c r="H9" s="165"/>
    </row>
    <row r="10" spans="1:10" ht="18.75" x14ac:dyDescent="0.3">
      <c r="A10" s="164"/>
      <c r="B10" s="164"/>
      <c r="C10" s="163"/>
      <c r="D10" s="164"/>
      <c r="E10" s="164"/>
      <c r="F10" s="164"/>
      <c r="G10" s="164"/>
      <c r="H10" s="165"/>
    </row>
    <row r="11" spans="1:10" ht="48" thickBot="1" x14ac:dyDescent="0.3">
      <c r="A11" s="379" t="s">
        <v>2</v>
      </c>
      <c r="B11" s="380"/>
      <c r="C11" s="167" t="s">
        <v>111</v>
      </c>
      <c r="D11" s="167"/>
      <c r="E11" s="167" t="s">
        <v>161</v>
      </c>
      <c r="F11" s="167" t="s">
        <v>10</v>
      </c>
      <c r="G11" s="167" t="s">
        <v>8</v>
      </c>
      <c r="H11" s="168" t="s">
        <v>11</v>
      </c>
    </row>
    <row r="12" spans="1:10" ht="19.5" thickBot="1" x14ac:dyDescent="0.35">
      <c r="A12" s="386" t="s">
        <v>430</v>
      </c>
      <c r="B12" s="387"/>
      <c r="C12" s="387"/>
      <c r="D12" s="387"/>
      <c r="E12" s="387"/>
      <c r="F12" s="387"/>
      <c r="G12" s="388"/>
      <c r="H12" s="90">
        <f>45*(H13+H78+H457+H473+H487+G500)/100</f>
        <v>0</v>
      </c>
    </row>
    <row r="13" spans="1:10" ht="39.75" customHeight="1" thickBot="1" x14ac:dyDescent="0.35">
      <c r="A13" s="389" t="s">
        <v>431</v>
      </c>
      <c r="B13" s="390"/>
      <c r="C13" s="390"/>
      <c r="D13" s="390"/>
      <c r="E13" s="390"/>
      <c r="F13" s="390"/>
      <c r="G13" s="391"/>
      <c r="H13" s="140">
        <f>IF(G8&lt;=10,H15+H59+H62+H69,(H15+H70)/(G8-5)*5+H59+H62+H71)</f>
        <v>0</v>
      </c>
    </row>
    <row r="14" spans="1:10" ht="46.5" customHeight="1" thickBot="1" x14ac:dyDescent="0.3">
      <c r="A14" s="383" t="s">
        <v>380</v>
      </c>
      <c r="B14" s="384"/>
      <c r="C14" s="384"/>
      <c r="D14" s="384"/>
      <c r="E14" s="384"/>
      <c r="F14" s="384"/>
      <c r="G14" s="384"/>
      <c r="H14" s="385"/>
    </row>
    <row r="15" spans="1:10" ht="15.75" thickBot="1" x14ac:dyDescent="0.3">
      <c r="A15" s="351" t="s">
        <v>280</v>
      </c>
      <c r="B15" s="23" t="s">
        <v>279</v>
      </c>
      <c r="C15" s="24"/>
      <c r="D15" s="24"/>
      <c r="E15" s="24"/>
      <c r="F15" s="24"/>
      <c r="G15" s="24">
        <f>G16+G36</f>
        <v>0</v>
      </c>
      <c r="H15" s="60">
        <f>H16+H36</f>
        <v>0</v>
      </c>
      <c r="J15" s="169"/>
    </row>
    <row r="16" spans="1:10" x14ac:dyDescent="0.25">
      <c r="A16" s="349"/>
      <c r="B16" s="373"/>
      <c r="C16" s="170" t="s">
        <v>281</v>
      </c>
      <c r="D16" s="21"/>
      <c r="E16" s="171"/>
      <c r="F16" s="21"/>
      <c r="G16" s="44">
        <f>COUNTIF(E18:E35,"nu")</f>
        <v>0</v>
      </c>
      <c r="H16" s="45">
        <f>SUMIF(E18:E35,"NU",H18:H35)</f>
        <v>0</v>
      </c>
    </row>
    <row r="17" spans="1:10" ht="15.75" thickBot="1" x14ac:dyDescent="0.3">
      <c r="A17" s="349"/>
      <c r="B17" s="373"/>
      <c r="C17" s="170" t="s">
        <v>282</v>
      </c>
      <c r="D17" s="21" t="s">
        <v>72</v>
      </c>
      <c r="E17" s="171" t="s">
        <v>162</v>
      </c>
      <c r="F17" s="21"/>
      <c r="G17" s="46">
        <f>COUNTIF(E18:E35,"da")</f>
        <v>0</v>
      </c>
      <c r="H17" s="47">
        <f>SUMIF(E18:E35,"DA",H18:H35)</f>
        <v>0</v>
      </c>
      <c r="J17" s="169"/>
    </row>
    <row r="18" spans="1:10" x14ac:dyDescent="0.25">
      <c r="A18" s="349"/>
      <c r="B18" s="374"/>
      <c r="C18" s="172"/>
      <c r="D18" s="29"/>
      <c r="E18" s="40"/>
      <c r="F18" s="22"/>
      <c r="G18" s="22"/>
      <c r="H18" s="41">
        <f>IF(D18=0,0,D18/500)</f>
        <v>0</v>
      </c>
    </row>
    <row r="19" spans="1:10" x14ac:dyDescent="0.25">
      <c r="A19" s="349"/>
      <c r="B19" s="374"/>
      <c r="C19" s="172"/>
      <c r="D19" s="29"/>
      <c r="E19" s="40"/>
      <c r="F19" s="22"/>
      <c r="G19" s="22"/>
      <c r="H19" s="41">
        <f t="shared" ref="H19:H35" si="0">IF(D19=0,0,D19/500)</f>
        <v>0</v>
      </c>
    </row>
    <row r="20" spans="1:10" x14ac:dyDescent="0.25">
      <c r="A20" s="349"/>
      <c r="B20" s="374"/>
      <c r="C20" s="172"/>
      <c r="D20" s="29"/>
      <c r="E20" s="40"/>
      <c r="F20" s="22"/>
      <c r="G20" s="22"/>
      <c r="H20" s="41">
        <f t="shared" si="0"/>
        <v>0</v>
      </c>
    </row>
    <row r="21" spans="1:10" x14ac:dyDescent="0.25">
      <c r="A21" s="349"/>
      <c r="B21" s="374"/>
      <c r="C21" s="172"/>
      <c r="D21" s="29"/>
      <c r="E21" s="40"/>
      <c r="F21" s="22"/>
      <c r="G21" s="22"/>
      <c r="H21" s="41">
        <f t="shared" si="0"/>
        <v>0</v>
      </c>
    </row>
    <row r="22" spans="1:10" x14ac:dyDescent="0.25">
      <c r="A22" s="349"/>
      <c r="B22" s="374"/>
      <c r="C22" s="172"/>
      <c r="D22" s="29"/>
      <c r="E22" s="40"/>
      <c r="F22" s="22"/>
      <c r="G22" s="22"/>
      <c r="H22" s="41">
        <f t="shared" si="0"/>
        <v>0</v>
      </c>
    </row>
    <row r="23" spans="1:10" x14ac:dyDescent="0.25">
      <c r="A23" s="349"/>
      <c r="B23" s="374"/>
      <c r="C23" s="172"/>
      <c r="D23" s="29"/>
      <c r="E23" s="40"/>
      <c r="F23" s="22"/>
      <c r="G23" s="22"/>
      <c r="H23" s="41">
        <f>IF(D23=0,0,D23/500)</f>
        <v>0</v>
      </c>
    </row>
    <row r="24" spans="1:10" x14ac:dyDescent="0.25">
      <c r="A24" s="349"/>
      <c r="B24" s="374"/>
      <c r="C24" s="172"/>
      <c r="D24" s="29"/>
      <c r="E24" s="40"/>
      <c r="F24" s="22"/>
      <c r="G24" s="22"/>
      <c r="H24" s="41">
        <f t="shared" si="0"/>
        <v>0</v>
      </c>
    </row>
    <row r="25" spans="1:10" x14ac:dyDescent="0.25">
      <c r="A25" s="349"/>
      <c r="B25" s="374"/>
      <c r="C25" s="172"/>
      <c r="D25" s="29"/>
      <c r="E25" s="40"/>
      <c r="F25" s="22"/>
      <c r="G25" s="22"/>
      <c r="H25" s="41">
        <f t="shared" si="0"/>
        <v>0</v>
      </c>
    </row>
    <row r="26" spans="1:10" x14ac:dyDescent="0.25">
      <c r="A26" s="349"/>
      <c r="B26" s="374"/>
      <c r="C26" s="172"/>
      <c r="D26" s="29"/>
      <c r="E26" s="40"/>
      <c r="F26" s="22"/>
      <c r="G26" s="22"/>
      <c r="H26" s="41">
        <f t="shared" si="0"/>
        <v>0</v>
      </c>
    </row>
    <row r="27" spans="1:10" x14ac:dyDescent="0.25">
      <c r="A27" s="349"/>
      <c r="B27" s="374"/>
      <c r="C27" s="172"/>
      <c r="D27" s="29"/>
      <c r="E27" s="40"/>
      <c r="F27" s="22"/>
      <c r="G27" s="22"/>
      <c r="H27" s="41">
        <f t="shared" si="0"/>
        <v>0</v>
      </c>
    </row>
    <row r="28" spans="1:10" x14ac:dyDescent="0.25">
      <c r="A28" s="349"/>
      <c r="B28" s="374"/>
      <c r="C28" s="172"/>
      <c r="D28" s="29"/>
      <c r="E28" s="40"/>
      <c r="F28" s="22"/>
      <c r="G28" s="22"/>
      <c r="H28" s="41">
        <f t="shared" si="0"/>
        <v>0</v>
      </c>
    </row>
    <row r="29" spans="1:10" x14ac:dyDescent="0.25">
      <c r="A29" s="349"/>
      <c r="B29" s="374"/>
      <c r="C29" s="172"/>
      <c r="D29" s="29"/>
      <c r="E29" s="40"/>
      <c r="F29" s="22"/>
      <c r="G29" s="22"/>
      <c r="H29" s="41">
        <f t="shared" si="0"/>
        <v>0</v>
      </c>
    </row>
    <row r="30" spans="1:10" x14ac:dyDescent="0.25">
      <c r="A30" s="349"/>
      <c r="B30" s="374"/>
      <c r="C30" s="172"/>
      <c r="D30" s="29"/>
      <c r="E30" s="40"/>
      <c r="F30" s="22"/>
      <c r="G30" s="22"/>
      <c r="H30" s="41">
        <f t="shared" si="0"/>
        <v>0</v>
      </c>
    </row>
    <row r="31" spans="1:10" x14ac:dyDescent="0.25">
      <c r="A31" s="349"/>
      <c r="B31" s="374"/>
      <c r="C31" s="172"/>
      <c r="D31" s="29"/>
      <c r="E31" s="40"/>
      <c r="F31" s="22"/>
      <c r="G31" s="22"/>
      <c r="H31" s="41">
        <f t="shared" si="0"/>
        <v>0</v>
      </c>
    </row>
    <row r="32" spans="1:10" x14ac:dyDescent="0.25">
      <c r="A32" s="349"/>
      <c r="B32" s="374"/>
      <c r="C32" s="172"/>
      <c r="D32" s="29"/>
      <c r="E32" s="40"/>
      <c r="F32" s="22"/>
      <c r="G32" s="22"/>
      <c r="H32" s="41">
        <f t="shared" si="0"/>
        <v>0</v>
      </c>
    </row>
    <row r="33" spans="1:8" x14ac:dyDescent="0.25">
      <c r="A33" s="349"/>
      <c r="B33" s="374"/>
      <c r="C33" s="172"/>
      <c r="D33" s="29"/>
      <c r="E33" s="40"/>
      <c r="F33" s="22"/>
      <c r="G33" s="22"/>
      <c r="H33" s="41">
        <f t="shared" si="0"/>
        <v>0</v>
      </c>
    </row>
    <row r="34" spans="1:8" x14ac:dyDescent="0.25">
      <c r="A34" s="349"/>
      <c r="B34" s="374"/>
      <c r="C34" s="172"/>
      <c r="D34" s="29"/>
      <c r="E34" s="40"/>
      <c r="F34" s="22"/>
      <c r="G34" s="22"/>
      <c r="H34" s="41">
        <f t="shared" si="0"/>
        <v>0</v>
      </c>
    </row>
    <row r="35" spans="1:8" ht="15.75" thickBot="1" x14ac:dyDescent="0.3">
      <c r="A35" s="349"/>
      <c r="B35" s="374"/>
      <c r="C35" s="172"/>
      <c r="D35" s="29"/>
      <c r="E35" s="40"/>
      <c r="F35" s="22"/>
      <c r="G35" s="22"/>
      <c r="H35" s="41">
        <f t="shared" si="0"/>
        <v>0</v>
      </c>
    </row>
    <row r="36" spans="1:8" x14ac:dyDescent="0.25">
      <c r="A36" s="349"/>
      <c r="B36" s="374"/>
      <c r="C36" s="152" t="s">
        <v>283</v>
      </c>
      <c r="D36" s="22"/>
      <c r="E36" s="22"/>
      <c r="F36" s="22"/>
      <c r="G36" s="44">
        <f>COUNTIF(E38:E58,"nu")</f>
        <v>0</v>
      </c>
      <c r="H36" s="45">
        <f>SUMIF(E38:E58,"NU",H38:H58)</f>
        <v>0</v>
      </c>
    </row>
    <row r="37" spans="1:8" ht="19.5" customHeight="1" thickBot="1" x14ac:dyDescent="0.3">
      <c r="A37" s="349"/>
      <c r="B37" s="374"/>
      <c r="C37" s="153" t="s">
        <v>292</v>
      </c>
      <c r="D37" s="21" t="s">
        <v>72</v>
      </c>
      <c r="E37" s="171" t="s">
        <v>162</v>
      </c>
      <c r="F37" s="22" t="s">
        <v>197</v>
      </c>
      <c r="G37" s="46">
        <f>COUNTIF(E38:E58,"da")</f>
        <v>0</v>
      </c>
      <c r="H37" s="47">
        <f>SUMIF(E38:E58,"DA",H38:H58)</f>
        <v>0</v>
      </c>
    </row>
    <row r="38" spans="1:8" x14ac:dyDescent="0.25">
      <c r="A38" s="349"/>
      <c r="B38" s="374"/>
      <c r="C38" s="172"/>
      <c r="D38" s="29"/>
      <c r="E38" s="40"/>
      <c r="F38" s="29"/>
      <c r="G38" s="22"/>
      <c r="H38" s="41">
        <f>IF(F38=0,0,D38/(500*F38))</f>
        <v>0</v>
      </c>
    </row>
    <row r="39" spans="1:8" x14ac:dyDescent="0.25">
      <c r="A39" s="349"/>
      <c r="B39" s="375"/>
      <c r="C39" s="173"/>
      <c r="D39" s="29"/>
      <c r="E39" s="174"/>
      <c r="F39" s="48"/>
      <c r="G39" s="42"/>
      <c r="H39" s="41">
        <f t="shared" ref="H39:H58" si="1">IF(F39=0,0,D39/(500*F39))</f>
        <v>0</v>
      </c>
    </row>
    <row r="40" spans="1:8" x14ac:dyDescent="0.25">
      <c r="A40" s="349"/>
      <c r="B40" s="375"/>
      <c r="C40" s="173"/>
      <c r="D40" s="29"/>
      <c r="E40" s="174"/>
      <c r="F40" s="48"/>
      <c r="G40" s="42"/>
      <c r="H40" s="41">
        <f t="shared" si="1"/>
        <v>0</v>
      </c>
    </row>
    <row r="41" spans="1:8" x14ac:dyDescent="0.25">
      <c r="A41" s="349"/>
      <c r="B41" s="375"/>
      <c r="C41" s="173"/>
      <c r="D41" s="29"/>
      <c r="E41" s="174"/>
      <c r="F41" s="48"/>
      <c r="G41" s="42"/>
      <c r="H41" s="41">
        <f t="shared" si="1"/>
        <v>0</v>
      </c>
    </row>
    <row r="42" spans="1:8" x14ac:dyDescent="0.25">
      <c r="A42" s="349"/>
      <c r="B42" s="375"/>
      <c r="C42" s="173"/>
      <c r="D42" s="29"/>
      <c r="E42" s="174"/>
      <c r="F42" s="48"/>
      <c r="G42" s="42"/>
      <c r="H42" s="41">
        <f t="shared" si="1"/>
        <v>0</v>
      </c>
    </row>
    <row r="43" spans="1:8" x14ac:dyDescent="0.25">
      <c r="A43" s="349"/>
      <c r="B43" s="375"/>
      <c r="C43" s="173"/>
      <c r="D43" s="29"/>
      <c r="E43" s="174"/>
      <c r="F43" s="48"/>
      <c r="G43" s="42"/>
      <c r="H43" s="41">
        <f>IF(F43=0,0,D43/(500*F43))</f>
        <v>0</v>
      </c>
    </row>
    <row r="44" spans="1:8" x14ac:dyDescent="0.25">
      <c r="A44" s="349"/>
      <c r="B44" s="375"/>
      <c r="C44" s="173"/>
      <c r="D44" s="29"/>
      <c r="E44" s="174"/>
      <c r="F44" s="48"/>
      <c r="G44" s="42"/>
      <c r="H44" s="41">
        <f t="shared" si="1"/>
        <v>0</v>
      </c>
    </row>
    <row r="45" spans="1:8" x14ac:dyDescent="0.25">
      <c r="A45" s="349"/>
      <c r="B45" s="375"/>
      <c r="C45" s="173"/>
      <c r="D45" s="29"/>
      <c r="E45" s="174"/>
      <c r="F45" s="48"/>
      <c r="G45" s="42"/>
      <c r="H45" s="41">
        <f t="shared" si="1"/>
        <v>0</v>
      </c>
    </row>
    <row r="46" spans="1:8" x14ac:dyDescent="0.25">
      <c r="A46" s="349"/>
      <c r="B46" s="375"/>
      <c r="C46" s="173"/>
      <c r="D46" s="29"/>
      <c r="E46" s="174"/>
      <c r="F46" s="48"/>
      <c r="G46" s="42"/>
      <c r="H46" s="41">
        <f t="shared" si="1"/>
        <v>0</v>
      </c>
    </row>
    <row r="47" spans="1:8" x14ac:dyDescent="0.25">
      <c r="A47" s="349"/>
      <c r="B47" s="375"/>
      <c r="C47" s="173"/>
      <c r="D47" s="29"/>
      <c r="E47" s="174"/>
      <c r="F47" s="48"/>
      <c r="G47" s="42"/>
      <c r="H47" s="41">
        <f t="shared" si="1"/>
        <v>0</v>
      </c>
    </row>
    <row r="48" spans="1:8" x14ac:dyDescent="0.25">
      <c r="A48" s="349"/>
      <c r="B48" s="375"/>
      <c r="C48" s="173"/>
      <c r="D48" s="29"/>
      <c r="E48" s="174"/>
      <c r="F48" s="48"/>
      <c r="G48" s="42"/>
      <c r="H48" s="41">
        <f t="shared" si="1"/>
        <v>0</v>
      </c>
    </row>
    <row r="49" spans="1:8" x14ac:dyDescent="0.25">
      <c r="A49" s="349"/>
      <c r="B49" s="375"/>
      <c r="C49" s="173"/>
      <c r="D49" s="29"/>
      <c r="E49" s="174"/>
      <c r="F49" s="48"/>
      <c r="G49" s="42"/>
      <c r="H49" s="41">
        <f t="shared" si="1"/>
        <v>0</v>
      </c>
    </row>
    <row r="50" spans="1:8" x14ac:dyDescent="0.25">
      <c r="A50" s="349"/>
      <c r="B50" s="375"/>
      <c r="C50" s="173"/>
      <c r="D50" s="29"/>
      <c r="E50" s="174"/>
      <c r="F50" s="48"/>
      <c r="G50" s="42"/>
      <c r="H50" s="41">
        <f t="shared" si="1"/>
        <v>0</v>
      </c>
    </row>
    <row r="51" spans="1:8" x14ac:dyDescent="0.25">
      <c r="A51" s="349"/>
      <c r="B51" s="375"/>
      <c r="C51" s="173"/>
      <c r="D51" s="29"/>
      <c r="E51" s="174"/>
      <c r="F51" s="48"/>
      <c r="G51" s="42"/>
      <c r="H51" s="41">
        <f t="shared" si="1"/>
        <v>0</v>
      </c>
    </row>
    <row r="52" spans="1:8" x14ac:dyDescent="0.25">
      <c r="A52" s="349"/>
      <c r="B52" s="375"/>
      <c r="C52" s="173"/>
      <c r="D52" s="29"/>
      <c r="E52" s="174"/>
      <c r="F52" s="48"/>
      <c r="G52" s="42"/>
      <c r="H52" s="41">
        <f t="shared" si="1"/>
        <v>0</v>
      </c>
    </row>
    <row r="53" spans="1:8" x14ac:dyDescent="0.25">
      <c r="A53" s="349"/>
      <c r="B53" s="375"/>
      <c r="C53" s="173"/>
      <c r="D53" s="29"/>
      <c r="E53" s="174"/>
      <c r="F53" s="48"/>
      <c r="G53" s="42"/>
      <c r="H53" s="41">
        <f t="shared" si="1"/>
        <v>0</v>
      </c>
    </row>
    <row r="54" spans="1:8" x14ac:dyDescent="0.25">
      <c r="A54" s="349"/>
      <c r="B54" s="375"/>
      <c r="C54" s="173"/>
      <c r="D54" s="29"/>
      <c r="E54" s="174"/>
      <c r="F54" s="48"/>
      <c r="G54" s="42"/>
      <c r="H54" s="41">
        <f>IF(F54=0,0,D54/(500*F54))</f>
        <v>0</v>
      </c>
    </row>
    <row r="55" spans="1:8" x14ac:dyDescent="0.25">
      <c r="A55" s="349"/>
      <c r="B55" s="375"/>
      <c r="C55" s="173"/>
      <c r="D55" s="29"/>
      <c r="E55" s="174"/>
      <c r="F55" s="48"/>
      <c r="G55" s="42"/>
      <c r="H55" s="41">
        <f t="shared" si="1"/>
        <v>0</v>
      </c>
    </row>
    <row r="56" spans="1:8" x14ac:dyDescent="0.25">
      <c r="A56" s="349"/>
      <c r="B56" s="375"/>
      <c r="C56" s="173"/>
      <c r="D56" s="29"/>
      <c r="E56" s="174"/>
      <c r="F56" s="48"/>
      <c r="G56" s="42"/>
      <c r="H56" s="41">
        <f t="shared" si="1"/>
        <v>0</v>
      </c>
    </row>
    <row r="57" spans="1:8" x14ac:dyDescent="0.25">
      <c r="A57" s="349"/>
      <c r="B57" s="375"/>
      <c r="C57" s="173"/>
      <c r="D57" s="29"/>
      <c r="E57" s="174"/>
      <c r="F57" s="48"/>
      <c r="G57" s="42"/>
      <c r="H57" s="41">
        <f t="shared" si="1"/>
        <v>0</v>
      </c>
    </row>
    <row r="58" spans="1:8" ht="15.75" thickBot="1" x14ac:dyDescent="0.3">
      <c r="A58" s="358"/>
      <c r="B58" s="375"/>
      <c r="C58" s="173"/>
      <c r="D58" s="29"/>
      <c r="E58" s="174"/>
      <c r="F58" s="48"/>
      <c r="G58" s="42"/>
      <c r="H58" s="41">
        <f t="shared" si="1"/>
        <v>0</v>
      </c>
    </row>
    <row r="59" spans="1:8" ht="15.75" thickBot="1" x14ac:dyDescent="0.3">
      <c r="A59" s="340" t="s">
        <v>285</v>
      </c>
      <c r="B59" s="341"/>
      <c r="C59" s="342"/>
      <c r="D59" s="175"/>
      <c r="E59" s="175"/>
      <c r="F59" s="49" t="s">
        <v>240</v>
      </c>
      <c r="G59" s="176">
        <f>SUM(G60:G61)</f>
        <v>0</v>
      </c>
      <c r="H59" s="90">
        <f>SUM(H60:H61)</f>
        <v>0</v>
      </c>
    </row>
    <row r="60" spans="1:8" x14ac:dyDescent="0.25">
      <c r="A60" s="395"/>
      <c r="B60" s="381" t="s">
        <v>198</v>
      </c>
      <c r="C60" s="170" t="s">
        <v>282</v>
      </c>
      <c r="D60" s="21"/>
      <c r="E60" s="21"/>
      <c r="F60" s="21"/>
      <c r="G60" s="177">
        <f>G17</f>
        <v>0</v>
      </c>
      <c r="H60" s="41">
        <f>H17</f>
        <v>0</v>
      </c>
    </row>
    <row r="61" spans="1:8" ht="30.75" thickBot="1" x14ac:dyDescent="0.3">
      <c r="A61" s="396"/>
      <c r="B61" s="382"/>
      <c r="C61" s="153" t="s">
        <v>284</v>
      </c>
      <c r="D61" s="21"/>
      <c r="E61" s="21"/>
      <c r="F61" s="21"/>
      <c r="G61" s="177">
        <f>G37</f>
        <v>0</v>
      </c>
      <c r="H61" s="41">
        <f>H37</f>
        <v>0</v>
      </c>
    </row>
    <row r="62" spans="1:8" ht="34.5" customHeight="1" thickBot="1" x14ac:dyDescent="0.3">
      <c r="A62" s="340" t="s">
        <v>271</v>
      </c>
      <c r="B62" s="341"/>
      <c r="C62" s="342"/>
      <c r="D62" s="178" t="s">
        <v>82</v>
      </c>
      <c r="E62" s="178"/>
      <c r="F62" s="49"/>
      <c r="G62" s="176">
        <f>COUNTA(C63:C68)</f>
        <v>0</v>
      </c>
      <c r="H62" s="90">
        <f>SUM(H63:H68)</f>
        <v>0</v>
      </c>
    </row>
    <row r="63" spans="1:8" x14ac:dyDescent="0.25">
      <c r="A63" s="179"/>
      <c r="B63" s="179"/>
      <c r="C63" s="180"/>
      <c r="D63" s="180"/>
      <c r="E63" s="180"/>
      <c r="F63" s="21"/>
      <c r="G63" s="21"/>
      <c r="H63" s="41">
        <f t="shared" ref="H63:H68" si="2">D63*0.2</f>
        <v>0</v>
      </c>
    </row>
    <row r="64" spans="1:8" x14ac:dyDescent="0.25">
      <c r="A64" s="181"/>
      <c r="B64" s="181"/>
      <c r="C64" s="180"/>
      <c r="D64" s="180"/>
      <c r="E64" s="180"/>
      <c r="F64" s="21"/>
      <c r="G64" s="21"/>
      <c r="H64" s="41">
        <f t="shared" si="2"/>
        <v>0</v>
      </c>
    </row>
    <row r="65" spans="1:8" x14ac:dyDescent="0.25">
      <c r="A65" s="181"/>
      <c r="B65" s="181"/>
      <c r="C65" s="180"/>
      <c r="D65" s="180"/>
      <c r="E65" s="180"/>
      <c r="F65" s="21"/>
      <c r="G65" s="21"/>
      <c r="H65" s="41">
        <f t="shared" si="2"/>
        <v>0</v>
      </c>
    </row>
    <row r="66" spans="1:8" x14ac:dyDescent="0.25">
      <c r="A66" s="181"/>
      <c r="B66" s="181"/>
      <c r="C66" s="180"/>
      <c r="D66" s="180"/>
      <c r="E66" s="180"/>
      <c r="F66" s="21"/>
      <c r="G66" s="21"/>
      <c r="H66" s="41">
        <f t="shared" si="2"/>
        <v>0</v>
      </c>
    </row>
    <row r="67" spans="1:8" x14ac:dyDescent="0.25">
      <c r="A67" s="181"/>
      <c r="B67" s="181"/>
      <c r="C67" s="180"/>
      <c r="D67" s="180"/>
      <c r="E67" s="180"/>
      <c r="F67" s="21"/>
      <c r="G67" s="21"/>
      <c r="H67" s="41">
        <f t="shared" si="2"/>
        <v>0</v>
      </c>
    </row>
    <row r="68" spans="1:8" ht="15.75" thickBot="1" x14ac:dyDescent="0.3">
      <c r="A68" s="181"/>
      <c r="B68" s="181"/>
      <c r="C68" s="180"/>
      <c r="D68" s="180"/>
      <c r="E68" s="180"/>
      <c r="F68" s="21"/>
      <c r="G68" s="21"/>
      <c r="H68" s="41">
        <f t="shared" si="2"/>
        <v>0</v>
      </c>
    </row>
    <row r="69" spans="1:8" ht="15.75" thickBot="1" x14ac:dyDescent="0.3">
      <c r="A69" s="340" t="s">
        <v>286</v>
      </c>
      <c r="B69" s="341"/>
      <c r="C69" s="342"/>
      <c r="D69" s="178"/>
      <c r="E69" s="178"/>
      <c r="F69" s="49"/>
      <c r="G69" s="49">
        <f>G70+G71</f>
        <v>0</v>
      </c>
      <c r="H69" s="154">
        <f>H70+H71</f>
        <v>0</v>
      </c>
    </row>
    <row r="70" spans="1:8" x14ac:dyDescent="0.25">
      <c r="A70" s="397"/>
      <c r="B70" s="397"/>
      <c r="C70" s="182" t="s">
        <v>287</v>
      </c>
      <c r="D70" s="183"/>
      <c r="E70" s="183"/>
      <c r="F70" s="62"/>
      <c r="G70" s="62">
        <f>COUNTIF(E72:E77,"nu")</f>
        <v>0</v>
      </c>
      <c r="H70" s="45">
        <f>SUMIF(E72:E77,"nu",H72:H77)</f>
        <v>0</v>
      </c>
    </row>
    <row r="71" spans="1:8" ht="15.75" customHeight="1" thickBot="1" x14ac:dyDescent="0.3">
      <c r="A71" s="397"/>
      <c r="B71" s="397"/>
      <c r="C71" s="184" t="s">
        <v>288</v>
      </c>
      <c r="D71" s="185" t="s">
        <v>72</v>
      </c>
      <c r="E71" s="185" t="s">
        <v>162</v>
      </c>
      <c r="F71" s="53"/>
      <c r="G71" s="53">
        <f>COUNTIF(E72:E77,"da")</f>
        <v>0</v>
      </c>
      <c r="H71" s="47">
        <f>SUMIF(E72:E77,"DA",H72:H77)</f>
        <v>0</v>
      </c>
    </row>
    <row r="72" spans="1:8" x14ac:dyDescent="0.25">
      <c r="A72" s="397"/>
      <c r="B72" s="397"/>
      <c r="C72" s="260"/>
      <c r="D72" s="180"/>
      <c r="E72" s="180"/>
      <c r="F72" s="21"/>
      <c r="G72" s="21"/>
      <c r="H72" s="41">
        <f t="shared" ref="H72:H77" si="3">IF(D72=0,0,D72/800)</f>
        <v>0</v>
      </c>
    </row>
    <row r="73" spans="1:8" x14ac:dyDescent="0.25">
      <c r="A73" s="397"/>
      <c r="B73" s="397"/>
      <c r="C73" s="260"/>
      <c r="D73" s="29"/>
      <c r="E73" s="29"/>
      <c r="F73" s="22"/>
      <c r="G73" s="22"/>
      <c r="H73" s="52">
        <f t="shared" si="3"/>
        <v>0</v>
      </c>
    </row>
    <row r="74" spans="1:8" x14ac:dyDescent="0.25">
      <c r="A74" s="397"/>
      <c r="B74" s="397"/>
      <c r="C74" s="180"/>
      <c r="D74" s="180"/>
      <c r="E74" s="180"/>
      <c r="F74" s="21"/>
      <c r="G74" s="21"/>
      <c r="H74" s="41">
        <f t="shared" si="3"/>
        <v>0</v>
      </c>
    </row>
    <row r="75" spans="1:8" x14ac:dyDescent="0.25">
      <c r="A75" s="397"/>
      <c r="B75" s="397"/>
      <c r="C75" s="180"/>
      <c r="D75" s="180"/>
      <c r="E75" s="180"/>
      <c r="F75" s="21"/>
      <c r="G75" s="21"/>
      <c r="H75" s="41">
        <f t="shared" si="3"/>
        <v>0</v>
      </c>
    </row>
    <row r="76" spans="1:8" x14ac:dyDescent="0.25">
      <c r="A76" s="397"/>
      <c r="B76" s="397"/>
      <c r="C76" s="180"/>
      <c r="D76" s="180"/>
      <c r="E76" s="180"/>
      <c r="F76" s="21"/>
      <c r="G76" s="21"/>
      <c r="H76" s="41">
        <f t="shared" si="3"/>
        <v>0</v>
      </c>
    </row>
    <row r="77" spans="1:8" ht="15.75" thickBot="1" x14ac:dyDescent="0.3">
      <c r="A77" s="398"/>
      <c r="B77" s="398"/>
      <c r="C77" s="48"/>
      <c r="D77" s="48"/>
      <c r="E77" s="48"/>
      <c r="F77" s="42"/>
      <c r="G77" s="42"/>
      <c r="H77" s="41">
        <f t="shared" si="3"/>
        <v>0</v>
      </c>
    </row>
    <row r="78" spans="1:8" ht="19.5" thickBot="1" x14ac:dyDescent="0.35">
      <c r="A78" s="399" t="s">
        <v>38</v>
      </c>
      <c r="B78" s="400"/>
      <c r="C78" s="400"/>
      <c r="D78" s="401"/>
      <c r="E78" s="49"/>
      <c r="F78" s="49"/>
      <c r="G78" s="49">
        <f>G79+G104+G157+G358+G394</f>
        <v>0</v>
      </c>
      <c r="H78" s="90">
        <f>H424+H425</f>
        <v>0</v>
      </c>
    </row>
    <row r="79" spans="1:8" ht="15.75" thickBot="1" x14ac:dyDescent="0.3">
      <c r="A79" s="348" t="s">
        <v>39</v>
      </c>
      <c r="B79" s="35" t="s">
        <v>40</v>
      </c>
      <c r="C79" s="50"/>
      <c r="D79" s="50"/>
      <c r="E79" s="50"/>
      <c r="F79" s="50"/>
      <c r="G79" s="50">
        <f>G80+G88</f>
        <v>0</v>
      </c>
      <c r="H79" s="69">
        <f>H80+H88+H95</f>
        <v>0</v>
      </c>
    </row>
    <row r="80" spans="1:8" x14ac:dyDescent="0.25">
      <c r="A80" s="349"/>
      <c r="B80" s="373"/>
      <c r="C80" s="22" t="s">
        <v>41</v>
      </c>
      <c r="D80" s="38"/>
      <c r="E80" s="21"/>
      <c r="F80" s="21"/>
      <c r="G80" s="44">
        <f>COUNTIF(D82:D87,"nu")</f>
        <v>0</v>
      </c>
      <c r="H80" s="45">
        <f>SUMIF(D82:D87,"NU",H82:H87)</f>
        <v>0</v>
      </c>
    </row>
    <row r="81" spans="1:8" ht="15.75" thickBot="1" x14ac:dyDescent="0.3">
      <c r="A81" s="349"/>
      <c r="B81" s="373"/>
      <c r="C81" s="22" t="s">
        <v>201</v>
      </c>
      <c r="D81" s="38" t="s">
        <v>162</v>
      </c>
      <c r="E81" s="21"/>
      <c r="F81" s="21"/>
      <c r="G81" s="46">
        <f>COUNTIF(D82:D87,"da")</f>
        <v>0</v>
      </c>
      <c r="H81" s="47">
        <f>SUMIF(D82:D87,"DA",H82:H87)</f>
        <v>0</v>
      </c>
    </row>
    <row r="82" spans="1:8" x14ac:dyDescent="0.25">
      <c r="A82" s="349"/>
      <c r="B82" s="374"/>
      <c r="C82" s="29"/>
      <c r="D82" s="40"/>
      <c r="E82" s="22"/>
      <c r="F82" s="22"/>
      <c r="G82" s="22"/>
      <c r="H82" s="41">
        <f t="shared" ref="H82:H87" si="4">IF(C82=0,0,10)</f>
        <v>0</v>
      </c>
    </row>
    <row r="83" spans="1:8" x14ac:dyDescent="0.25">
      <c r="A83" s="349"/>
      <c r="B83" s="374"/>
      <c r="C83" s="29"/>
      <c r="D83" s="40"/>
      <c r="E83" s="22"/>
      <c r="F83" s="22"/>
      <c r="G83" s="22"/>
      <c r="H83" s="41">
        <f t="shared" si="4"/>
        <v>0</v>
      </c>
    </row>
    <row r="84" spans="1:8" x14ac:dyDescent="0.25">
      <c r="A84" s="349"/>
      <c r="B84" s="374"/>
      <c r="C84" s="29"/>
      <c r="D84" s="40"/>
      <c r="E84" s="22"/>
      <c r="F84" s="22"/>
      <c r="G84" s="22"/>
      <c r="H84" s="41">
        <f t="shared" si="4"/>
        <v>0</v>
      </c>
    </row>
    <row r="85" spans="1:8" x14ac:dyDescent="0.25">
      <c r="A85" s="349"/>
      <c r="B85" s="374"/>
      <c r="C85" s="29"/>
      <c r="D85" s="40"/>
      <c r="E85" s="22"/>
      <c r="F85" s="22"/>
      <c r="G85" s="22"/>
      <c r="H85" s="41">
        <f t="shared" si="4"/>
        <v>0</v>
      </c>
    </row>
    <row r="86" spans="1:8" x14ac:dyDescent="0.25">
      <c r="A86" s="349"/>
      <c r="B86" s="374"/>
      <c r="C86" s="29"/>
      <c r="D86" s="40"/>
      <c r="E86" s="22"/>
      <c r="F86" s="22"/>
      <c r="G86" s="22"/>
      <c r="H86" s="41">
        <f t="shared" si="4"/>
        <v>0</v>
      </c>
    </row>
    <row r="87" spans="1:8" ht="15.75" thickBot="1" x14ac:dyDescent="0.3">
      <c r="A87" s="349"/>
      <c r="B87" s="374"/>
      <c r="C87" s="29"/>
      <c r="D87" s="40"/>
      <c r="E87" s="22"/>
      <c r="F87" s="22"/>
      <c r="G87" s="22"/>
      <c r="H87" s="41">
        <f t="shared" si="4"/>
        <v>0</v>
      </c>
    </row>
    <row r="88" spans="1:8" x14ac:dyDescent="0.25">
      <c r="A88" s="349"/>
      <c r="B88" s="374"/>
      <c r="C88" s="22" t="s">
        <v>47</v>
      </c>
      <c r="D88" s="22"/>
      <c r="E88" s="22"/>
      <c r="F88" s="22"/>
      <c r="G88" s="44">
        <f>COUNTIF(D90:D94,"nu")</f>
        <v>0</v>
      </c>
      <c r="H88" s="45">
        <f>SUMIF(D90:D94,"NU",H90:H94)</f>
        <v>0</v>
      </c>
    </row>
    <row r="89" spans="1:8" ht="15.75" thickBot="1" x14ac:dyDescent="0.3">
      <c r="A89" s="349"/>
      <c r="B89" s="374"/>
      <c r="C89" s="22" t="s">
        <v>202</v>
      </c>
      <c r="D89" s="38" t="s">
        <v>162</v>
      </c>
      <c r="E89" s="22"/>
      <c r="F89" s="22" t="s">
        <v>10</v>
      </c>
      <c r="G89" s="46">
        <f>COUNTIF(D90:D94,"da")</f>
        <v>0</v>
      </c>
      <c r="H89" s="47">
        <f>SUMIF(D90:D94,"DA",H90:H94)</f>
        <v>0</v>
      </c>
    </row>
    <row r="90" spans="1:8" x14ac:dyDescent="0.25">
      <c r="A90" s="349"/>
      <c r="B90" s="374"/>
      <c r="C90" s="29"/>
      <c r="D90" s="40"/>
      <c r="E90" s="29"/>
      <c r="F90" s="29"/>
      <c r="G90" s="22"/>
      <c r="H90" s="41">
        <f>IF(F90=0,0,10/F90)</f>
        <v>0</v>
      </c>
    </row>
    <row r="91" spans="1:8" x14ac:dyDescent="0.25">
      <c r="A91" s="349"/>
      <c r="B91" s="374"/>
      <c r="C91" s="29"/>
      <c r="D91" s="40"/>
      <c r="E91" s="29"/>
      <c r="F91" s="29"/>
      <c r="G91" s="22"/>
      <c r="H91" s="41">
        <f>IF(F91=0,0,10/F91)</f>
        <v>0</v>
      </c>
    </row>
    <row r="92" spans="1:8" x14ac:dyDescent="0.25">
      <c r="A92" s="349"/>
      <c r="B92" s="374"/>
      <c r="C92" s="29"/>
      <c r="D92" s="40"/>
      <c r="E92" s="29"/>
      <c r="F92" s="29"/>
      <c r="G92" s="22"/>
      <c r="H92" s="41">
        <f>IF(F92=0,0,10/F92)</f>
        <v>0</v>
      </c>
    </row>
    <row r="93" spans="1:8" x14ac:dyDescent="0.25">
      <c r="A93" s="349"/>
      <c r="B93" s="374"/>
      <c r="C93" s="29"/>
      <c r="D93" s="40"/>
      <c r="E93" s="29"/>
      <c r="F93" s="29"/>
      <c r="G93" s="22"/>
      <c r="H93" s="41">
        <f>IF(F93=0,0,10/F93)</f>
        <v>0</v>
      </c>
    </row>
    <row r="94" spans="1:8" ht="15.75" thickBot="1" x14ac:dyDescent="0.3">
      <c r="A94" s="349"/>
      <c r="B94" s="374"/>
      <c r="C94" s="29"/>
      <c r="D94" s="40"/>
      <c r="E94" s="29"/>
      <c r="F94" s="29"/>
      <c r="G94" s="22"/>
      <c r="H94" s="41">
        <f>IF(F94=0,0,10/F94)</f>
        <v>0</v>
      </c>
    </row>
    <row r="95" spans="1:8" x14ac:dyDescent="0.25">
      <c r="A95" s="349"/>
      <c r="B95" s="374"/>
      <c r="C95" s="22" t="s">
        <v>354</v>
      </c>
      <c r="D95" s="22"/>
      <c r="E95" s="22"/>
      <c r="F95" s="22"/>
      <c r="G95" s="44">
        <f>COUNTIF(D97:D103,"nu")</f>
        <v>0</v>
      </c>
      <c r="H95" s="45">
        <f>SUMIF(D97:D103,"NU",H97:H103)</f>
        <v>0</v>
      </c>
    </row>
    <row r="96" spans="1:8" ht="15.75" thickBot="1" x14ac:dyDescent="0.3">
      <c r="A96" s="349"/>
      <c r="B96" s="374"/>
      <c r="C96" s="22" t="s">
        <v>355</v>
      </c>
      <c r="D96" s="38" t="s">
        <v>162</v>
      </c>
      <c r="E96" s="22"/>
      <c r="F96" s="22"/>
      <c r="G96" s="46">
        <f>COUNTIF(D97:D103,"da")</f>
        <v>0</v>
      </c>
      <c r="H96" s="47">
        <f>SUMIF(D97:D103,"DA",H97:H103)</f>
        <v>0</v>
      </c>
    </row>
    <row r="97" spans="1:10" x14ac:dyDescent="0.25">
      <c r="A97" s="349"/>
      <c r="B97" s="374"/>
      <c r="C97" s="29"/>
      <c r="D97" s="40"/>
      <c r="E97" s="22"/>
      <c r="F97" s="22"/>
      <c r="G97" s="22"/>
      <c r="H97" s="41">
        <f t="shared" ref="H97:H103" si="5">IF(C97=0,0,3)</f>
        <v>0</v>
      </c>
    </row>
    <row r="98" spans="1:10" x14ac:dyDescent="0.25">
      <c r="A98" s="349"/>
      <c r="B98" s="375"/>
      <c r="C98" s="29"/>
      <c r="D98" s="174"/>
      <c r="E98" s="42"/>
      <c r="F98" s="42"/>
      <c r="G98" s="42"/>
      <c r="H98" s="41">
        <f t="shared" si="5"/>
        <v>0</v>
      </c>
    </row>
    <row r="99" spans="1:10" x14ac:dyDescent="0.25">
      <c r="A99" s="349"/>
      <c r="B99" s="375"/>
      <c r="C99" s="29"/>
      <c r="D99" s="174"/>
      <c r="E99" s="42"/>
      <c r="F99" s="42"/>
      <c r="G99" s="42"/>
      <c r="H99" s="41">
        <f>IF(C99=0,0,3)</f>
        <v>0</v>
      </c>
    </row>
    <row r="100" spans="1:10" x14ac:dyDescent="0.25">
      <c r="A100" s="349"/>
      <c r="B100" s="375"/>
      <c r="C100" s="29"/>
      <c r="D100" s="174"/>
      <c r="E100" s="42"/>
      <c r="F100" s="42"/>
      <c r="G100" s="42"/>
      <c r="H100" s="41">
        <f t="shared" si="5"/>
        <v>0</v>
      </c>
    </row>
    <row r="101" spans="1:10" x14ac:dyDescent="0.25">
      <c r="A101" s="349"/>
      <c r="B101" s="375"/>
      <c r="C101" s="29"/>
      <c r="D101" s="174"/>
      <c r="E101" s="42"/>
      <c r="F101" s="42"/>
      <c r="G101" s="42"/>
      <c r="H101" s="41">
        <f t="shared" si="5"/>
        <v>0</v>
      </c>
    </row>
    <row r="102" spans="1:10" x14ac:dyDescent="0.25">
      <c r="A102" s="349"/>
      <c r="B102" s="375"/>
      <c r="C102" s="29"/>
      <c r="D102" s="174"/>
      <c r="E102" s="42"/>
      <c r="F102" s="42"/>
      <c r="G102" s="42"/>
      <c r="H102" s="41">
        <f t="shared" si="5"/>
        <v>0</v>
      </c>
    </row>
    <row r="103" spans="1:10" ht="15.75" thickBot="1" x14ac:dyDescent="0.3">
      <c r="A103" s="358"/>
      <c r="B103" s="375"/>
      <c r="C103" s="29"/>
      <c r="D103" s="174"/>
      <c r="E103" s="42"/>
      <c r="F103" s="42"/>
      <c r="G103" s="42"/>
      <c r="H103" s="41">
        <f t="shared" si="5"/>
        <v>0</v>
      </c>
    </row>
    <row r="104" spans="1:10" ht="15.75" thickBot="1" x14ac:dyDescent="0.3">
      <c r="A104" s="351" t="s">
        <v>203</v>
      </c>
      <c r="B104" s="23" t="s">
        <v>42</v>
      </c>
      <c r="C104" s="24"/>
      <c r="D104" s="24"/>
      <c r="E104" s="24"/>
      <c r="F104" s="24"/>
      <c r="G104" s="24">
        <f>G105+G124</f>
        <v>0</v>
      </c>
      <c r="H104" s="60">
        <f>H105+H124+H141</f>
        <v>0</v>
      </c>
    </row>
    <row r="105" spans="1:10" x14ac:dyDescent="0.25">
      <c r="A105" s="349"/>
      <c r="B105" s="373"/>
      <c r="C105" s="22" t="s">
        <v>45</v>
      </c>
      <c r="D105" s="38"/>
      <c r="E105" s="21"/>
      <c r="F105" s="21"/>
      <c r="G105" s="44">
        <f>COUNTIF(D107:D123,"nu")</f>
        <v>0</v>
      </c>
      <c r="H105" s="45">
        <f>SUMIF(D107:D123,"NU",H107:H123)</f>
        <v>0</v>
      </c>
    </row>
    <row r="106" spans="1:10" ht="30.75" thickBot="1" x14ac:dyDescent="0.3">
      <c r="A106" s="349"/>
      <c r="B106" s="373"/>
      <c r="C106" s="22" t="s">
        <v>204</v>
      </c>
      <c r="D106" s="38" t="s">
        <v>162</v>
      </c>
      <c r="E106" s="186" t="s">
        <v>441</v>
      </c>
      <c r="F106" s="21"/>
      <c r="G106" s="46">
        <f>COUNTIF(D107:D123,"da")</f>
        <v>0</v>
      </c>
      <c r="H106" s="47">
        <f>SUMIF(D107:D123,"DA",H107:H123)</f>
        <v>0</v>
      </c>
      <c r="J106" s="36" t="s">
        <v>435</v>
      </c>
    </row>
    <row r="107" spans="1:10" x14ac:dyDescent="0.25">
      <c r="A107" s="349"/>
      <c r="B107" s="374"/>
      <c r="C107" s="29"/>
      <c r="D107" s="40"/>
      <c r="E107" s="40"/>
      <c r="F107" s="22"/>
      <c r="G107" s="22"/>
      <c r="H107" s="41">
        <f>IF(C107=0,0,20)</f>
        <v>0</v>
      </c>
      <c r="J107" s="36">
        <f>IF(AND(D107="da",E107="da"),1,0)</f>
        <v>0</v>
      </c>
    </row>
    <row r="108" spans="1:10" x14ac:dyDescent="0.25">
      <c r="A108" s="349"/>
      <c r="B108" s="374"/>
      <c r="C108" s="29"/>
      <c r="D108" s="40"/>
      <c r="E108" s="40"/>
      <c r="F108" s="22"/>
      <c r="G108" s="22"/>
      <c r="H108" s="41">
        <f>IF(C108=0,0,20)</f>
        <v>0</v>
      </c>
      <c r="J108" s="36">
        <f t="shared" ref="J108:J140" si="6">IF(AND(D108="da",E108="da"),1,0)</f>
        <v>0</v>
      </c>
    </row>
    <row r="109" spans="1:10" x14ac:dyDescent="0.25">
      <c r="A109" s="349"/>
      <c r="B109" s="374"/>
      <c r="C109" s="29"/>
      <c r="D109" s="40"/>
      <c r="E109" s="40"/>
      <c r="F109" s="22"/>
      <c r="G109" s="22"/>
      <c r="H109" s="41">
        <f>IF(C109=0,0,20)</f>
        <v>0</v>
      </c>
      <c r="J109" s="36">
        <f>IF(AND(D109="da",E109="da"),1,0)</f>
        <v>0</v>
      </c>
    </row>
    <row r="110" spans="1:10" x14ac:dyDescent="0.25">
      <c r="A110" s="349"/>
      <c r="B110" s="374"/>
      <c r="C110" s="29"/>
      <c r="D110" s="40"/>
      <c r="E110" s="40"/>
      <c r="F110" s="22"/>
      <c r="G110" s="22"/>
      <c r="H110" s="41">
        <f t="shared" ref="H110:H122" si="7">IF(C110=0,0,20)</f>
        <v>0</v>
      </c>
      <c r="J110" s="36">
        <f t="shared" si="6"/>
        <v>0</v>
      </c>
    </row>
    <row r="111" spans="1:10" x14ac:dyDescent="0.25">
      <c r="A111" s="349"/>
      <c r="B111" s="374"/>
      <c r="C111" s="29"/>
      <c r="D111" s="40"/>
      <c r="E111" s="40"/>
      <c r="F111" s="22"/>
      <c r="G111" s="22"/>
      <c r="H111" s="41">
        <f t="shared" si="7"/>
        <v>0</v>
      </c>
      <c r="J111" s="36">
        <f t="shared" si="6"/>
        <v>0</v>
      </c>
    </row>
    <row r="112" spans="1:10" x14ac:dyDescent="0.25">
      <c r="A112" s="349"/>
      <c r="B112" s="374"/>
      <c r="C112" s="29"/>
      <c r="D112" s="40"/>
      <c r="E112" s="40"/>
      <c r="F112" s="22"/>
      <c r="G112" s="22"/>
      <c r="H112" s="41">
        <f t="shared" si="7"/>
        <v>0</v>
      </c>
      <c r="J112" s="36">
        <f t="shared" si="6"/>
        <v>0</v>
      </c>
    </row>
    <row r="113" spans="1:10" x14ac:dyDescent="0.25">
      <c r="A113" s="349"/>
      <c r="B113" s="374"/>
      <c r="C113" s="29"/>
      <c r="D113" s="40"/>
      <c r="E113" s="40"/>
      <c r="F113" s="22"/>
      <c r="G113" s="22"/>
      <c r="H113" s="41">
        <f t="shared" si="7"/>
        <v>0</v>
      </c>
      <c r="J113" s="36">
        <f t="shared" si="6"/>
        <v>0</v>
      </c>
    </row>
    <row r="114" spans="1:10" x14ac:dyDescent="0.25">
      <c r="A114" s="349"/>
      <c r="B114" s="374"/>
      <c r="C114" s="29"/>
      <c r="D114" s="40"/>
      <c r="E114" s="40"/>
      <c r="F114" s="22"/>
      <c r="G114" s="22"/>
      <c r="H114" s="41">
        <f t="shared" si="7"/>
        <v>0</v>
      </c>
      <c r="J114" s="36">
        <f t="shared" si="6"/>
        <v>0</v>
      </c>
    </row>
    <row r="115" spans="1:10" x14ac:dyDescent="0.25">
      <c r="A115" s="349"/>
      <c r="B115" s="374"/>
      <c r="C115" s="29"/>
      <c r="D115" s="40"/>
      <c r="E115" s="40"/>
      <c r="F115" s="22"/>
      <c r="G115" s="22"/>
      <c r="H115" s="41">
        <f t="shared" si="7"/>
        <v>0</v>
      </c>
      <c r="J115" s="36">
        <f t="shared" si="6"/>
        <v>0</v>
      </c>
    </row>
    <row r="116" spans="1:10" x14ac:dyDescent="0.25">
      <c r="A116" s="349"/>
      <c r="B116" s="374"/>
      <c r="C116" s="29"/>
      <c r="D116" s="40"/>
      <c r="E116" s="40"/>
      <c r="F116" s="22"/>
      <c r="G116" s="22"/>
      <c r="H116" s="41">
        <f t="shared" si="7"/>
        <v>0</v>
      </c>
      <c r="J116" s="36">
        <f t="shared" si="6"/>
        <v>0</v>
      </c>
    </row>
    <row r="117" spans="1:10" x14ac:dyDescent="0.25">
      <c r="A117" s="349"/>
      <c r="B117" s="374"/>
      <c r="C117" s="29"/>
      <c r="D117" s="40"/>
      <c r="E117" s="40"/>
      <c r="F117" s="22"/>
      <c r="G117" s="22"/>
      <c r="H117" s="41">
        <f t="shared" si="7"/>
        <v>0</v>
      </c>
      <c r="J117" s="36">
        <f t="shared" si="6"/>
        <v>0</v>
      </c>
    </row>
    <row r="118" spans="1:10" x14ac:dyDescent="0.25">
      <c r="A118" s="349"/>
      <c r="B118" s="374"/>
      <c r="C118" s="29"/>
      <c r="D118" s="40"/>
      <c r="E118" s="40"/>
      <c r="F118" s="22"/>
      <c r="G118" s="22"/>
      <c r="H118" s="41">
        <f t="shared" si="7"/>
        <v>0</v>
      </c>
      <c r="J118" s="36">
        <f t="shared" si="6"/>
        <v>0</v>
      </c>
    </row>
    <row r="119" spans="1:10" x14ac:dyDescent="0.25">
      <c r="A119" s="349"/>
      <c r="B119" s="374"/>
      <c r="C119" s="29"/>
      <c r="D119" s="40"/>
      <c r="E119" s="40"/>
      <c r="F119" s="22"/>
      <c r="G119" s="22"/>
      <c r="H119" s="41">
        <f t="shared" si="7"/>
        <v>0</v>
      </c>
      <c r="J119" s="36">
        <f t="shared" si="6"/>
        <v>0</v>
      </c>
    </row>
    <row r="120" spans="1:10" x14ac:dyDescent="0.25">
      <c r="A120" s="349"/>
      <c r="B120" s="374"/>
      <c r="C120" s="29"/>
      <c r="D120" s="40"/>
      <c r="E120" s="40"/>
      <c r="F120" s="22"/>
      <c r="G120" s="22"/>
      <c r="H120" s="41">
        <f t="shared" si="7"/>
        <v>0</v>
      </c>
      <c r="J120" s="36">
        <f t="shared" si="6"/>
        <v>0</v>
      </c>
    </row>
    <row r="121" spans="1:10" x14ac:dyDescent="0.25">
      <c r="A121" s="349"/>
      <c r="B121" s="374"/>
      <c r="C121" s="29"/>
      <c r="D121" s="40"/>
      <c r="E121" s="40"/>
      <c r="F121" s="22"/>
      <c r="G121" s="22"/>
      <c r="H121" s="41">
        <f t="shared" si="7"/>
        <v>0</v>
      </c>
      <c r="J121" s="36">
        <f t="shared" si="6"/>
        <v>0</v>
      </c>
    </row>
    <row r="122" spans="1:10" x14ac:dyDescent="0.25">
      <c r="A122" s="349"/>
      <c r="B122" s="374"/>
      <c r="C122" s="29"/>
      <c r="D122" s="40"/>
      <c r="E122" s="40"/>
      <c r="F122" s="22"/>
      <c r="G122" s="22"/>
      <c r="H122" s="41">
        <f t="shared" si="7"/>
        <v>0</v>
      </c>
      <c r="J122" s="36">
        <f t="shared" si="6"/>
        <v>0</v>
      </c>
    </row>
    <row r="123" spans="1:10" ht="15.75" thickBot="1" x14ac:dyDescent="0.3">
      <c r="A123" s="349"/>
      <c r="B123" s="374"/>
      <c r="C123" s="29"/>
      <c r="D123" s="40"/>
      <c r="E123" s="40"/>
      <c r="F123" s="22"/>
      <c r="G123" s="22"/>
      <c r="H123" s="41">
        <f>IF(C123=0,0,20)</f>
        <v>0</v>
      </c>
      <c r="J123" s="36">
        <f t="shared" si="6"/>
        <v>0</v>
      </c>
    </row>
    <row r="124" spans="1:10" x14ac:dyDescent="0.25">
      <c r="A124" s="349"/>
      <c r="B124" s="374"/>
      <c r="C124" s="22" t="s">
        <v>48</v>
      </c>
      <c r="D124" s="22"/>
      <c r="E124" s="187"/>
      <c r="F124" s="22"/>
      <c r="G124" s="44">
        <f>COUNTIF(D126:D140,"nu")</f>
        <v>0</v>
      </c>
      <c r="H124" s="45">
        <f>SUMIF(D126:D140,"NU",H126:H140)</f>
        <v>0</v>
      </c>
      <c r="J124" s="36">
        <f t="shared" si="6"/>
        <v>0</v>
      </c>
    </row>
    <row r="125" spans="1:10" ht="30.75" thickBot="1" x14ac:dyDescent="0.3">
      <c r="A125" s="349"/>
      <c r="B125" s="374"/>
      <c r="C125" s="22" t="s">
        <v>205</v>
      </c>
      <c r="D125" s="38" t="s">
        <v>162</v>
      </c>
      <c r="E125" s="186" t="s">
        <v>441</v>
      </c>
      <c r="F125" s="22" t="s">
        <v>10</v>
      </c>
      <c r="G125" s="46">
        <f>COUNTIF(D126:D140,"da")</f>
        <v>0</v>
      </c>
      <c r="H125" s="47">
        <f>SUMIF(D126:D140,"DA",H126:H140)</f>
        <v>0</v>
      </c>
      <c r="J125" s="36">
        <f t="shared" si="6"/>
        <v>0</v>
      </c>
    </row>
    <row r="126" spans="1:10" x14ac:dyDescent="0.25">
      <c r="A126" s="349"/>
      <c r="B126" s="374"/>
      <c r="C126" s="29"/>
      <c r="D126" s="40"/>
      <c r="E126" s="40"/>
      <c r="F126" s="29"/>
      <c r="G126" s="22"/>
      <c r="H126" s="41">
        <f>IF(F126=0,0,20/F126)</f>
        <v>0</v>
      </c>
      <c r="J126" s="36">
        <f t="shared" si="6"/>
        <v>0</v>
      </c>
    </row>
    <row r="127" spans="1:10" x14ac:dyDescent="0.25">
      <c r="A127" s="349"/>
      <c r="B127" s="374"/>
      <c r="C127" s="29"/>
      <c r="D127" s="40"/>
      <c r="E127" s="40"/>
      <c r="F127" s="29"/>
      <c r="G127" s="22"/>
      <c r="H127" s="41">
        <f t="shared" ref="H127:H138" si="8">IF(F127=0,0,20/F127)</f>
        <v>0</v>
      </c>
      <c r="J127" s="36">
        <f t="shared" si="6"/>
        <v>0</v>
      </c>
    </row>
    <row r="128" spans="1:10" x14ac:dyDescent="0.25">
      <c r="A128" s="349"/>
      <c r="B128" s="374"/>
      <c r="C128" s="29"/>
      <c r="D128" s="40"/>
      <c r="E128" s="40"/>
      <c r="F128" s="29"/>
      <c r="G128" s="22"/>
      <c r="H128" s="41">
        <f>IF(F128=0,0,20/F128)</f>
        <v>0</v>
      </c>
      <c r="J128" s="36">
        <f t="shared" si="6"/>
        <v>0</v>
      </c>
    </row>
    <row r="129" spans="1:10" x14ac:dyDescent="0.25">
      <c r="A129" s="349"/>
      <c r="B129" s="374"/>
      <c r="C129" s="29"/>
      <c r="D129" s="40"/>
      <c r="E129" s="40"/>
      <c r="F129" s="29"/>
      <c r="G129" s="22"/>
      <c r="H129" s="41">
        <f t="shared" si="8"/>
        <v>0</v>
      </c>
      <c r="J129" s="36">
        <f t="shared" si="6"/>
        <v>0</v>
      </c>
    </row>
    <row r="130" spans="1:10" x14ac:dyDescent="0.25">
      <c r="A130" s="349"/>
      <c r="B130" s="374"/>
      <c r="C130" s="29"/>
      <c r="D130" s="40"/>
      <c r="E130" s="40"/>
      <c r="F130" s="29"/>
      <c r="G130" s="22"/>
      <c r="H130" s="41">
        <f t="shared" si="8"/>
        <v>0</v>
      </c>
      <c r="J130" s="36">
        <f t="shared" si="6"/>
        <v>0</v>
      </c>
    </row>
    <row r="131" spans="1:10" x14ac:dyDescent="0.25">
      <c r="A131" s="349"/>
      <c r="B131" s="374"/>
      <c r="C131" s="29"/>
      <c r="D131" s="40"/>
      <c r="E131" s="40"/>
      <c r="F131" s="29"/>
      <c r="G131" s="22"/>
      <c r="H131" s="41">
        <f t="shared" si="8"/>
        <v>0</v>
      </c>
      <c r="J131" s="36">
        <f t="shared" si="6"/>
        <v>0</v>
      </c>
    </row>
    <row r="132" spans="1:10" x14ac:dyDescent="0.25">
      <c r="A132" s="349"/>
      <c r="B132" s="374"/>
      <c r="C132" s="29"/>
      <c r="D132" s="40"/>
      <c r="E132" s="40"/>
      <c r="F132" s="29"/>
      <c r="G132" s="22"/>
      <c r="H132" s="41">
        <f t="shared" si="8"/>
        <v>0</v>
      </c>
      <c r="J132" s="36">
        <f t="shared" si="6"/>
        <v>0</v>
      </c>
    </row>
    <row r="133" spans="1:10" x14ac:dyDescent="0.25">
      <c r="A133" s="349"/>
      <c r="B133" s="374"/>
      <c r="C133" s="29"/>
      <c r="D133" s="40"/>
      <c r="E133" s="40"/>
      <c r="F133" s="29"/>
      <c r="G133" s="22"/>
      <c r="H133" s="41">
        <f t="shared" si="8"/>
        <v>0</v>
      </c>
      <c r="J133" s="36">
        <f t="shared" si="6"/>
        <v>0</v>
      </c>
    </row>
    <row r="134" spans="1:10" x14ac:dyDescent="0.25">
      <c r="A134" s="349"/>
      <c r="B134" s="374"/>
      <c r="C134" s="29"/>
      <c r="D134" s="40"/>
      <c r="E134" s="40"/>
      <c r="F134" s="29"/>
      <c r="G134" s="22"/>
      <c r="H134" s="41">
        <f t="shared" si="8"/>
        <v>0</v>
      </c>
      <c r="J134" s="36">
        <f t="shared" si="6"/>
        <v>0</v>
      </c>
    </row>
    <row r="135" spans="1:10" x14ac:dyDescent="0.25">
      <c r="A135" s="349"/>
      <c r="B135" s="374"/>
      <c r="C135" s="29"/>
      <c r="D135" s="40"/>
      <c r="E135" s="40"/>
      <c r="F135" s="29"/>
      <c r="G135" s="22"/>
      <c r="H135" s="41">
        <f t="shared" si="8"/>
        <v>0</v>
      </c>
      <c r="J135" s="36">
        <f t="shared" si="6"/>
        <v>0</v>
      </c>
    </row>
    <row r="136" spans="1:10" x14ac:dyDescent="0.25">
      <c r="A136" s="349"/>
      <c r="B136" s="374"/>
      <c r="C136" s="29"/>
      <c r="D136" s="40"/>
      <c r="E136" s="40"/>
      <c r="F136" s="29"/>
      <c r="G136" s="22"/>
      <c r="H136" s="41">
        <f t="shared" si="8"/>
        <v>0</v>
      </c>
      <c r="J136" s="36">
        <f t="shared" si="6"/>
        <v>0</v>
      </c>
    </row>
    <row r="137" spans="1:10" x14ac:dyDescent="0.25">
      <c r="A137" s="349"/>
      <c r="B137" s="374"/>
      <c r="C137" s="29"/>
      <c r="D137" s="40"/>
      <c r="E137" s="40"/>
      <c r="F137" s="29"/>
      <c r="G137" s="22"/>
      <c r="H137" s="41">
        <f t="shared" si="8"/>
        <v>0</v>
      </c>
      <c r="J137" s="36">
        <f t="shared" si="6"/>
        <v>0</v>
      </c>
    </row>
    <row r="138" spans="1:10" x14ac:dyDescent="0.25">
      <c r="A138" s="349"/>
      <c r="B138" s="374"/>
      <c r="C138" s="29"/>
      <c r="D138" s="40"/>
      <c r="E138" s="40"/>
      <c r="F138" s="29"/>
      <c r="G138" s="22"/>
      <c r="H138" s="41">
        <f t="shared" si="8"/>
        <v>0</v>
      </c>
      <c r="J138" s="36">
        <f t="shared" si="6"/>
        <v>0</v>
      </c>
    </row>
    <row r="139" spans="1:10" x14ac:dyDescent="0.25">
      <c r="A139" s="349"/>
      <c r="B139" s="374"/>
      <c r="C139" s="29"/>
      <c r="D139" s="40"/>
      <c r="E139" s="40"/>
      <c r="F139" s="29"/>
      <c r="G139" s="22"/>
      <c r="H139" s="41">
        <f>IF(F139=0,0,20/F139)</f>
        <v>0</v>
      </c>
      <c r="J139" s="36">
        <f t="shared" si="6"/>
        <v>0</v>
      </c>
    </row>
    <row r="140" spans="1:10" ht="15.75" thickBot="1" x14ac:dyDescent="0.3">
      <c r="A140" s="349"/>
      <c r="B140" s="374"/>
      <c r="C140" s="29"/>
      <c r="D140" s="40"/>
      <c r="E140" s="40"/>
      <c r="F140" s="29"/>
      <c r="G140" s="22"/>
      <c r="H140" s="41">
        <f>IF(F140=0,0,20/F140)</f>
        <v>0</v>
      </c>
      <c r="J140" s="36">
        <f t="shared" si="6"/>
        <v>0</v>
      </c>
    </row>
    <row r="141" spans="1:10" x14ac:dyDescent="0.25">
      <c r="A141" s="349"/>
      <c r="B141" s="374"/>
      <c r="C141" s="22" t="s">
        <v>356</v>
      </c>
      <c r="D141" s="22"/>
      <c r="E141" s="187"/>
      <c r="F141" s="22"/>
      <c r="G141" s="44">
        <f>COUNTIF(D143:D155,"nu")</f>
        <v>0</v>
      </c>
      <c r="H141" s="45">
        <f>SUMIF(D143:D155,"NU",H143:H155)</f>
        <v>0</v>
      </c>
    </row>
    <row r="142" spans="1:10" ht="15.75" thickBot="1" x14ac:dyDescent="0.3">
      <c r="A142" s="349"/>
      <c r="B142" s="374"/>
      <c r="C142" s="22" t="s">
        <v>357</v>
      </c>
      <c r="D142" s="38" t="s">
        <v>162</v>
      </c>
      <c r="E142" s="186"/>
      <c r="F142" s="22"/>
      <c r="G142" s="46">
        <f>COUNTIF(D143:D155,"da")</f>
        <v>0</v>
      </c>
      <c r="H142" s="47">
        <f>SUMIF(D143:D155,"DA",H143:H155)</f>
        <v>0</v>
      </c>
    </row>
    <row r="143" spans="1:10" x14ac:dyDescent="0.25">
      <c r="A143" s="349"/>
      <c r="B143" s="374"/>
      <c r="C143" s="29"/>
      <c r="D143" s="40"/>
      <c r="E143" s="40"/>
      <c r="F143" s="22"/>
      <c r="G143" s="22"/>
      <c r="H143" s="41">
        <f>IF(C143=0,0,6)</f>
        <v>0</v>
      </c>
    </row>
    <row r="144" spans="1:10" x14ac:dyDescent="0.25">
      <c r="A144" s="349"/>
      <c r="B144" s="375"/>
      <c r="C144" s="29"/>
      <c r="D144" s="174"/>
      <c r="E144" s="174"/>
      <c r="F144" s="42"/>
      <c r="G144" s="42"/>
      <c r="H144" s="41">
        <f t="shared" ref="H144:H153" si="9">IF(C144=0,0,6)</f>
        <v>0</v>
      </c>
    </row>
    <row r="145" spans="1:8" x14ac:dyDescent="0.25">
      <c r="A145" s="349"/>
      <c r="B145" s="375"/>
      <c r="C145" s="29"/>
      <c r="D145" s="174"/>
      <c r="E145" s="174"/>
      <c r="F145" s="42"/>
      <c r="G145" s="42"/>
      <c r="H145" s="41">
        <f t="shared" si="9"/>
        <v>0</v>
      </c>
    </row>
    <row r="146" spans="1:8" x14ac:dyDescent="0.25">
      <c r="A146" s="349"/>
      <c r="B146" s="375"/>
      <c r="C146" s="29"/>
      <c r="D146" s="174"/>
      <c r="E146" s="174"/>
      <c r="F146" s="42"/>
      <c r="G146" s="42"/>
      <c r="H146" s="41">
        <f t="shared" si="9"/>
        <v>0</v>
      </c>
    </row>
    <row r="147" spans="1:8" x14ac:dyDescent="0.25">
      <c r="A147" s="349"/>
      <c r="B147" s="375"/>
      <c r="C147" s="29"/>
      <c r="D147" s="174"/>
      <c r="E147" s="174"/>
      <c r="F147" s="42"/>
      <c r="G147" s="42"/>
      <c r="H147" s="41">
        <f t="shared" si="9"/>
        <v>0</v>
      </c>
    </row>
    <row r="148" spans="1:8" x14ac:dyDescent="0.25">
      <c r="A148" s="349"/>
      <c r="B148" s="375"/>
      <c r="C148" s="29"/>
      <c r="D148" s="174"/>
      <c r="E148" s="174"/>
      <c r="F148" s="42"/>
      <c r="G148" s="42"/>
      <c r="H148" s="41">
        <f t="shared" si="9"/>
        <v>0</v>
      </c>
    </row>
    <row r="149" spans="1:8" x14ac:dyDescent="0.25">
      <c r="A149" s="349"/>
      <c r="B149" s="375"/>
      <c r="C149" s="29"/>
      <c r="D149" s="174"/>
      <c r="E149" s="174"/>
      <c r="F149" s="42"/>
      <c r="G149" s="42"/>
      <c r="H149" s="41">
        <f t="shared" si="9"/>
        <v>0</v>
      </c>
    </row>
    <row r="150" spans="1:8" x14ac:dyDescent="0.25">
      <c r="A150" s="349"/>
      <c r="B150" s="375"/>
      <c r="C150" s="29"/>
      <c r="D150" s="174"/>
      <c r="E150" s="174"/>
      <c r="F150" s="42"/>
      <c r="G150" s="42"/>
      <c r="H150" s="41">
        <f t="shared" si="9"/>
        <v>0</v>
      </c>
    </row>
    <row r="151" spans="1:8" x14ac:dyDescent="0.25">
      <c r="A151" s="349"/>
      <c r="B151" s="375"/>
      <c r="C151" s="29"/>
      <c r="D151" s="174"/>
      <c r="E151" s="174"/>
      <c r="F151" s="42"/>
      <c r="G151" s="42"/>
      <c r="H151" s="41">
        <f t="shared" si="9"/>
        <v>0</v>
      </c>
    </row>
    <row r="152" spans="1:8" x14ac:dyDescent="0.25">
      <c r="A152" s="349"/>
      <c r="B152" s="375"/>
      <c r="C152" s="29"/>
      <c r="D152" s="174"/>
      <c r="E152" s="174"/>
      <c r="F152" s="42"/>
      <c r="G152" s="42"/>
      <c r="H152" s="41">
        <f t="shared" si="9"/>
        <v>0</v>
      </c>
    </row>
    <row r="153" spans="1:8" x14ac:dyDescent="0.25">
      <c r="A153" s="349"/>
      <c r="B153" s="375"/>
      <c r="C153" s="29"/>
      <c r="D153" s="174"/>
      <c r="E153" s="174"/>
      <c r="F153" s="42"/>
      <c r="G153" s="42"/>
      <c r="H153" s="41">
        <f t="shared" si="9"/>
        <v>0</v>
      </c>
    </row>
    <row r="154" spans="1:8" x14ac:dyDescent="0.25">
      <c r="A154" s="349"/>
      <c r="B154" s="375"/>
      <c r="C154" s="29"/>
      <c r="D154" s="174"/>
      <c r="E154" s="174"/>
      <c r="F154" s="42"/>
      <c r="G154" s="42"/>
      <c r="H154" s="41">
        <f>IF(C154=0,0,6)</f>
        <v>0</v>
      </c>
    </row>
    <row r="155" spans="1:8" ht="15.75" thickBot="1" x14ac:dyDescent="0.3">
      <c r="A155" s="349"/>
      <c r="B155" s="375"/>
      <c r="C155" s="29"/>
      <c r="D155" s="174"/>
      <c r="E155" s="48"/>
      <c r="F155" s="42"/>
      <c r="G155" s="42"/>
      <c r="H155" s="33">
        <f>IF(C155=0,0,6)</f>
        <v>0</v>
      </c>
    </row>
    <row r="156" spans="1:8" ht="15.75" thickBot="1" x14ac:dyDescent="0.3">
      <c r="A156" s="358"/>
      <c r="B156" s="375"/>
      <c r="C156" s="29" t="s">
        <v>434</v>
      </c>
      <c r="D156" s="42"/>
      <c r="E156" s="42"/>
      <c r="F156" s="42"/>
      <c r="G156" s="39">
        <f>COUNTIF(J107:J140,1)</f>
        <v>0</v>
      </c>
      <c r="H156" s="39">
        <f>COUNTIF(J107:J140,1)*10</f>
        <v>0</v>
      </c>
    </row>
    <row r="157" spans="1:8" ht="15.75" thickBot="1" x14ac:dyDescent="0.3">
      <c r="A157" s="351" t="s">
        <v>43</v>
      </c>
      <c r="B157" s="23" t="s">
        <v>44</v>
      </c>
      <c r="C157" s="24"/>
      <c r="D157" s="24"/>
      <c r="E157" s="24"/>
      <c r="F157" s="24"/>
      <c r="G157" s="24">
        <f>G158+G189</f>
        <v>0</v>
      </c>
      <c r="H157" s="60">
        <f>H158+H189</f>
        <v>0</v>
      </c>
    </row>
    <row r="158" spans="1:8" ht="15.75" thickBot="1" x14ac:dyDescent="0.3">
      <c r="A158" s="349"/>
      <c r="B158" s="368" t="s">
        <v>420</v>
      </c>
      <c r="C158" s="10" t="s">
        <v>46</v>
      </c>
      <c r="D158" s="21"/>
      <c r="E158" s="34"/>
      <c r="F158" s="34"/>
      <c r="G158" s="23">
        <f>G159+G168</f>
        <v>0</v>
      </c>
      <c r="H158" s="188">
        <f>H159+H168+H179</f>
        <v>0</v>
      </c>
    </row>
    <row r="159" spans="1:8" x14ac:dyDescent="0.25">
      <c r="A159" s="349"/>
      <c r="B159" s="369"/>
      <c r="C159" s="22" t="s">
        <v>45</v>
      </c>
      <c r="D159" s="38"/>
      <c r="E159" s="21"/>
      <c r="F159" s="21"/>
      <c r="G159" s="44">
        <f>COUNTIF(D161:D167,"nu")</f>
        <v>0</v>
      </c>
      <c r="H159" s="45">
        <f>SUMIF(D161:D167,"NU",H161:H167)</f>
        <v>0</v>
      </c>
    </row>
    <row r="160" spans="1:8" ht="15.75" thickBot="1" x14ac:dyDescent="0.3">
      <c r="A160" s="349"/>
      <c r="B160" s="369"/>
      <c r="C160" s="22" t="s">
        <v>204</v>
      </c>
      <c r="D160" s="38" t="s">
        <v>162</v>
      </c>
      <c r="E160" s="21"/>
      <c r="F160" s="21"/>
      <c r="G160" s="46">
        <f>COUNTIF(D161:D167,"da")</f>
        <v>0</v>
      </c>
      <c r="H160" s="47">
        <f>SUMIF(D161:D167,"DA",H161:H167)</f>
        <v>0</v>
      </c>
    </row>
    <row r="161" spans="1:8" x14ac:dyDescent="0.25">
      <c r="A161" s="349"/>
      <c r="B161" s="369"/>
      <c r="C161" s="29"/>
      <c r="D161" s="40"/>
      <c r="E161" s="22"/>
      <c r="F161" s="22"/>
      <c r="G161" s="22"/>
      <c r="H161" s="41">
        <f t="shared" ref="H161:H167" si="10">IF(C161=0,0,20)</f>
        <v>0</v>
      </c>
    </row>
    <row r="162" spans="1:8" x14ac:dyDescent="0.25">
      <c r="A162" s="349"/>
      <c r="B162" s="369"/>
      <c r="C162" s="29"/>
      <c r="D162" s="40"/>
      <c r="E162" s="22"/>
      <c r="F162" s="22"/>
      <c r="G162" s="22"/>
      <c r="H162" s="41">
        <f t="shared" si="10"/>
        <v>0</v>
      </c>
    </row>
    <row r="163" spans="1:8" x14ac:dyDescent="0.25">
      <c r="A163" s="349"/>
      <c r="B163" s="369"/>
      <c r="C163" s="29"/>
      <c r="D163" s="40"/>
      <c r="E163" s="22"/>
      <c r="F163" s="22"/>
      <c r="G163" s="22"/>
      <c r="H163" s="41">
        <f t="shared" si="10"/>
        <v>0</v>
      </c>
    </row>
    <row r="164" spans="1:8" x14ac:dyDescent="0.25">
      <c r="A164" s="349"/>
      <c r="B164" s="369"/>
      <c r="C164" s="29"/>
      <c r="D164" s="40"/>
      <c r="E164" s="22"/>
      <c r="F164" s="22"/>
      <c r="G164" s="22"/>
      <c r="H164" s="41">
        <f t="shared" si="10"/>
        <v>0</v>
      </c>
    </row>
    <row r="165" spans="1:8" x14ac:dyDescent="0.25">
      <c r="A165" s="349"/>
      <c r="B165" s="369"/>
      <c r="C165" s="29"/>
      <c r="D165" s="40"/>
      <c r="E165" s="22"/>
      <c r="F165" s="22"/>
      <c r="G165" s="22"/>
      <c r="H165" s="41">
        <f>IF(C165=0,0,20)</f>
        <v>0</v>
      </c>
    </row>
    <row r="166" spans="1:8" x14ac:dyDescent="0.25">
      <c r="A166" s="349"/>
      <c r="B166" s="369"/>
      <c r="C166" s="29"/>
      <c r="D166" s="40"/>
      <c r="E166" s="22"/>
      <c r="F166" s="22"/>
      <c r="G166" s="22"/>
      <c r="H166" s="41">
        <f t="shared" si="10"/>
        <v>0</v>
      </c>
    </row>
    <row r="167" spans="1:8" ht="15.75" thickBot="1" x14ac:dyDescent="0.3">
      <c r="A167" s="349"/>
      <c r="B167" s="369"/>
      <c r="C167" s="29"/>
      <c r="D167" s="40"/>
      <c r="E167" s="22"/>
      <c r="F167" s="22"/>
      <c r="G167" s="22"/>
      <c r="H167" s="41">
        <f t="shared" si="10"/>
        <v>0</v>
      </c>
    </row>
    <row r="168" spans="1:8" x14ac:dyDescent="0.25">
      <c r="A168" s="349"/>
      <c r="B168" s="369"/>
      <c r="C168" s="22" t="s">
        <v>48</v>
      </c>
      <c r="D168" s="22"/>
      <c r="E168" s="22"/>
      <c r="F168" s="22"/>
      <c r="G168" s="44">
        <f>COUNTIF(D170:D178,"nu")</f>
        <v>0</v>
      </c>
      <c r="H168" s="45">
        <f>SUMIF(D170:D178,"NU",H170:H178)</f>
        <v>0</v>
      </c>
    </row>
    <row r="169" spans="1:8" ht="15.75" thickBot="1" x14ac:dyDescent="0.3">
      <c r="A169" s="349"/>
      <c r="B169" s="369"/>
      <c r="C169" s="22" t="s">
        <v>205</v>
      </c>
      <c r="D169" s="38" t="s">
        <v>162</v>
      </c>
      <c r="E169" s="22"/>
      <c r="F169" s="22" t="s">
        <v>10</v>
      </c>
      <c r="G169" s="46">
        <f>COUNTIF(D170:D178,"da")</f>
        <v>0</v>
      </c>
      <c r="H169" s="47">
        <f>SUMIF(D170:D178,"DA",H170:H178)</f>
        <v>0</v>
      </c>
    </row>
    <row r="170" spans="1:8" x14ac:dyDescent="0.25">
      <c r="A170" s="349"/>
      <c r="B170" s="369"/>
      <c r="C170" s="29"/>
      <c r="D170" s="40"/>
      <c r="E170" s="29"/>
      <c r="F170" s="29"/>
      <c r="G170" s="22"/>
      <c r="H170" s="41">
        <f>IF(F170=0,0,20/F170)</f>
        <v>0</v>
      </c>
    </row>
    <row r="171" spans="1:8" x14ac:dyDescent="0.25">
      <c r="A171" s="349"/>
      <c r="B171" s="369"/>
      <c r="C171" s="29"/>
      <c r="D171" s="40"/>
      <c r="E171" s="29"/>
      <c r="F171" s="29"/>
      <c r="G171" s="22"/>
      <c r="H171" s="41">
        <f>IF(F171=0,0,20/F171)</f>
        <v>0</v>
      </c>
    </row>
    <row r="172" spans="1:8" x14ac:dyDescent="0.25">
      <c r="A172" s="349"/>
      <c r="B172" s="369"/>
      <c r="C172" s="29"/>
      <c r="D172" s="40"/>
      <c r="E172" s="29"/>
      <c r="F172" s="29"/>
      <c r="G172" s="22"/>
      <c r="H172" s="41">
        <f t="shared" ref="H172:H177" si="11">IF(F172=0,0,20/F172)</f>
        <v>0</v>
      </c>
    </row>
    <row r="173" spans="1:8" x14ac:dyDescent="0.25">
      <c r="A173" s="349"/>
      <c r="B173" s="369"/>
      <c r="C173" s="29"/>
      <c r="D173" s="40"/>
      <c r="E173" s="29"/>
      <c r="F173" s="29"/>
      <c r="G173" s="22"/>
      <c r="H173" s="41">
        <f t="shared" si="11"/>
        <v>0</v>
      </c>
    </row>
    <row r="174" spans="1:8" x14ac:dyDescent="0.25">
      <c r="A174" s="349"/>
      <c r="B174" s="369"/>
      <c r="C174" s="29"/>
      <c r="D174" s="40"/>
      <c r="E174" s="29"/>
      <c r="F174" s="29"/>
      <c r="G174" s="22"/>
      <c r="H174" s="41">
        <f t="shared" si="11"/>
        <v>0</v>
      </c>
    </row>
    <row r="175" spans="1:8" x14ac:dyDescent="0.25">
      <c r="A175" s="349"/>
      <c r="B175" s="369"/>
      <c r="C175" s="29"/>
      <c r="D175" s="40"/>
      <c r="E175" s="29"/>
      <c r="F175" s="29"/>
      <c r="G175" s="22"/>
      <c r="H175" s="41">
        <f t="shared" si="11"/>
        <v>0</v>
      </c>
    </row>
    <row r="176" spans="1:8" x14ac:dyDescent="0.25">
      <c r="A176" s="349"/>
      <c r="B176" s="369"/>
      <c r="C176" s="29"/>
      <c r="D176" s="40"/>
      <c r="E176" s="29"/>
      <c r="F176" s="29"/>
      <c r="G176" s="22"/>
      <c r="H176" s="41">
        <f t="shared" si="11"/>
        <v>0</v>
      </c>
    </row>
    <row r="177" spans="1:8" x14ac:dyDescent="0.25">
      <c r="A177" s="349"/>
      <c r="B177" s="369"/>
      <c r="C177" s="29"/>
      <c r="D177" s="40"/>
      <c r="E177" s="29"/>
      <c r="F177" s="29"/>
      <c r="G177" s="22"/>
      <c r="H177" s="41">
        <f t="shared" si="11"/>
        <v>0</v>
      </c>
    </row>
    <row r="178" spans="1:8" ht="15.75" thickBot="1" x14ac:dyDescent="0.3">
      <c r="A178" s="349"/>
      <c r="B178" s="369"/>
      <c r="C178" s="29"/>
      <c r="D178" s="40"/>
      <c r="E178" s="29"/>
      <c r="F178" s="29"/>
      <c r="G178" s="22"/>
      <c r="H178" s="41">
        <f>IF(F178=0,0,20/F178)</f>
        <v>0</v>
      </c>
    </row>
    <row r="179" spans="1:8" x14ac:dyDescent="0.25">
      <c r="A179" s="349"/>
      <c r="B179" s="369"/>
      <c r="C179" s="22" t="s">
        <v>358</v>
      </c>
      <c r="D179" s="22"/>
      <c r="E179" s="22"/>
      <c r="F179" s="22"/>
      <c r="G179" s="44">
        <f>COUNTIF(D181:D188,"nu")</f>
        <v>0</v>
      </c>
      <c r="H179" s="45">
        <f>SUMIF(D181:D188,"NU",H181:H188)</f>
        <v>0</v>
      </c>
    </row>
    <row r="180" spans="1:8" ht="15.75" thickBot="1" x14ac:dyDescent="0.3">
      <c r="A180" s="349"/>
      <c r="B180" s="369"/>
      <c r="C180" s="22" t="s">
        <v>359</v>
      </c>
      <c r="D180" s="38" t="s">
        <v>162</v>
      </c>
      <c r="E180" s="22"/>
      <c r="F180" s="22"/>
      <c r="G180" s="46">
        <f>COUNTIF(D181:D188,"da")</f>
        <v>0</v>
      </c>
      <c r="H180" s="47">
        <f>SUMIF(D181:D188,"DA",H181:H188)</f>
        <v>0</v>
      </c>
    </row>
    <row r="181" spans="1:8" x14ac:dyDescent="0.25">
      <c r="A181" s="349"/>
      <c r="B181" s="369"/>
      <c r="C181" s="29"/>
      <c r="D181" s="40"/>
      <c r="E181" s="22"/>
      <c r="F181" s="22"/>
      <c r="G181" s="22"/>
      <c r="H181" s="41">
        <f t="shared" ref="H181:H188" si="12">IF(C181=0,0,6)</f>
        <v>0</v>
      </c>
    </row>
    <row r="182" spans="1:8" x14ac:dyDescent="0.25">
      <c r="A182" s="349"/>
      <c r="B182" s="369"/>
      <c r="C182" s="29"/>
      <c r="D182" s="174"/>
      <c r="E182" s="42"/>
      <c r="F182" s="42"/>
      <c r="G182" s="42"/>
      <c r="H182" s="41">
        <f t="shared" si="12"/>
        <v>0</v>
      </c>
    </row>
    <row r="183" spans="1:8" x14ac:dyDescent="0.25">
      <c r="A183" s="349"/>
      <c r="B183" s="369"/>
      <c r="C183" s="29"/>
      <c r="D183" s="174"/>
      <c r="E183" s="42"/>
      <c r="F183" s="42"/>
      <c r="G183" s="42"/>
      <c r="H183" s="41">
        <f t="shared" si="12"/>
        <v>0</v>
      </c>
    </row>
    <row r="184" spans="1:8" x14ac:dyDescent="0.25">
      <c r="A184" s="349"/>
      <c r="B184" s="369"/>
      <c r="C184" s="29"/>
      <c r="D184" s="174"/>
      <c r="E184" s="42"/>
      <c r="F184" s="42"/>
      <c r="G184" s="42"/>
      <c r="H184" s="41">
        <f t="shared" si="12"/>
        <v>0</v>
      </c>
    </row>
    <row r="185" spans="1:8" x14ac:dyDescent="0.25">
      <c r="A185" s="349"/>
      <c r="B185" s="369"/>
      <c r="C185" s="29"/>
      <c r="D185" s="174"/>
      <c r="E185" s="42"/>
      <c r="F185" s="42"/>
      <c r="G185" s="42"/>
      <c r="H185" s="41">
        <f t="shared" si="12"/>
        <v>0</v>
      </c>
    </row>
    <row r="186" spans="1:8" x14ac:dyDescent="0.25">
      <c r="A186" s="349"/>
      <c r="B186" s="369"/>
      <c r="C186" s="29"/>
      <c r="D186" s="174"/>
      <c r="E186" s="42"/>
      <c r="F186" s="42"/>
      <c r="G186" s="42"/>
      <c r="H186" s="41">
        <f t="shared" si="12"/>
        <v>0</v>
      </c>
    </row>
    <row r="187" spans="1:8" x14ac:dyDescent="0.25">
      <c r="A187" s="349"/>
      <c r="B187" s="369"/>
      <c r="C187" s="29"/>
      <c r="D187" s="174"/>
      <c r="E187" s="42"/>
      <c r="F187" s="42"/>
      <c r="G187" s="42"/>
      <c r="H187" s="41">
        <f t="shared" si="12"/>
        <v>0</v>
      </c>
    </row>
    <row r="188" spans="1:8" ht="15.75" thickBot="1" x14ac:dyDescent="0.3">
      <c r="A188" s="349"/>
      <c r="B188" s="370"/>
      <c r="C188" s="29"/>
      <c r="D188" s="174"/>
      <c r="E188" s="42"/>
      <c r="F188" s="42"/>
      <c r="G188" s="42"/>
      <c r="H188" s="41">
        <f t="shared" si="12"/>
        <v>0</v>
      </c>
    </row>
    <row r="189" spans="1:8" ht="15.75" thickBot="1" x14ac:dyDescent="0.3">
      <c r="A189" s="349"/>
      <c r="B189" s="12" t="s">
        <v>112</v>
      </c>
      <c r="C189" s="189"/>
      <c r="D189" s="24"/>
      <c r="E189" s="24"/>
      <c r="F189" s="24"/>
      <c r="G189" s="24">
        <f>G190+G218+G249+G297+G327</f>
        <v>0</v>
      </c>
      <c r="H189" s="70">
        <f>H190+H218+H249+H327+H297</f>
        <v>0</v>
      </c>
    </row>
    <row r="190" spans="1:8" ht="15.75" thickBot="1" x14ac:dyDescent="0.3">
      <c r="A190" s="349"/>
      <c r="B190" s="371" t="s">
        <v>49</v>
      </c>
      <c r="C190" s="10" t="s">
        <v>50</v>
      </c>
      <c r="D190" s="21"/>
      <c r="E190" s="34"/>
      <c r="F190" s="34"/>
      <c r="G190" s="35">
        <f>G191+G199</f>
        <v>0</v>
      </c>
      <c r="H190" s="69">
        <f>H191+H199+H209</f>
        <v>0</v>
      </c>
    </row>
    <row r="191" spans="1:8" x14ac:dyDescent="0.25">
      <c r="A191" s="349"/>
      <c r="B191" s="369"/>
      <c r="C191" s="22" t="s">
        <v>51</v>
      </c>
      <c r="D191" s="38"/>
      <c r="E191" s="21"/>
      <c r="F191" s="21"/>
      <c r="G191" s="44">
        <f>COUNTIF(D193:D198,"nu")</f>
        <v>0</v>
      </c>
      <c r="H191" s="45">
        <f>SUMIF(D193:D198,"NU",H193:H198)</f>
        <v>0</v>
      </c>
    </row>
    <row r="192" spans="1:8" ht="15.75" thickBot="1" x14ac:dyDescent="0.3">
      <c r="A192" s="349"/>
      <c r="B192" s="369"/>
      <c r="C192" s="22" t="s">
        <v>206</v>
      </c>
      <c r="D192" s="38" t="s">
        <v>162</v>
      </c>
      <c r="E192" s="21"/>
      <c r="F192" s="21"/>
      <c r="G192" s="46">
        <f>COUNTIF(D193:D198,"da")</f>
        <v>0</v>
      </c>
      <c r="H192" s="47">
        <f>SUMIF(D193:D198,"DA",H193:H198)</f>
        <v>0</v>
      </c>
    </row>
    <row r="193" spans="1:8" x14ac:dyDescent="0.25">
      <c r="A193" s="349"/>
      <c r="B193" s="369"/>
      <c r="C193" s="29"/>
      <c r="D193" s="40"/>
      <c r="E193" s="22"/>
      <c r="F193" s="22"/>
      <c r="G193" s="22"/>
      <c r="H193" s="41">
        <f t="shared" ref="H193:H198" si="13">IF(C193=0,0,60)</f>
        <v>0</v>
      </c>
    </row>
    <row r="194" spans="1:8" x14ac:dyDescent="0.25">
      <c r="A194" s="349"/>
      <c r="B194" s="369"/>
      <c r="C194" s="29"/>
      <c r="D194" s="40"/>
      <c r="E194" s="22"/>
      <c r="F194" s="22"/>
      <c r="G194" s="22"/>
      <c r="H194" s="41">
        <f t="shared" si="13"/>
        <v>0</v>
      </c>
    </row>
    <row r="195" spans="1:8" x14ac:dyDescent="0.25">
      <c r="A195" s="349"/>
      <c r="B195" s="369"/>
      <c r="C195" s="29"/>
      <c r="D195" s="40"/>
      <c r="E195" s="22"/>
      <c r="F195" s="22"/>
      <c r="G195" s="22"/>
      <c r="H195" s="41">
        <f t="shared" si="13"/>
        <v>0</v>
      </c>
    </row>
    <row r="196" spans="1:8" x14ac:dyDescent="0.25">
      <c r="A196" s="349"/>
      <c r="B196" s="369"/>
      <c r="C196" s="29"/>
      <c r="D196" s="40"/>
      <c r="E196" s="22"/>
      <c r="F196" s="22"/>
      <c r="G196" s="22"/>
      <c r="H196" s="41">
        <f t="shared" si="13"/>
        <v>0</v>
      </c>
    </row>
    <row r="197" spans="1:8" x14ac:dyDescent="0.25">
      <c r="A197" s="349"/>
      <c r="B197" s="369"/>
      <c r="C197" s="29"/>
      <c r="D197" s="40"/>
      <c r="E197" s="22"/>
      <c r="F197" s="22"/>
      <c r="G197" s="22"/>
      <c r="H197" s="41">
        <f t="shared" si="13"/>
        <v>0</v>
      </c>
    </row>
    <row r="198" spans="1:8" ht="15.75" thickBot="1" x14ac:dyDescent="0.3">
      <c r="A198" s="349"/>
      <c r="B198" s="369"/>
      <c r="C198" s="29"/>
      <c r="D198" s="40"/>
      <c r="E198" s="22"/>
      <c r="F198" s="22"/>
      <c r="G198" s="22"/>
      <c r="H198" s="41">
        <f t="shared" si="13"/>
        <v>0</v>
      </c>
    </row>
    <row r="199" spans="1:8" x14ac:dyDescent="0.25">
      <c r="A199" s="349"/>
      <c r="B199" s="369"/>
      <c r="C199" s="22" t="s">
        <v>52</v>
      </c>
      <c r="D199" s="22"/>
      <c r="E199" s="22"/>
      <c r="F199" s="22"/>
      <c r="G199" s="44">
        <f>COUNTIF(D201:D208,"nu")</f>
        <v>0</v>
      </c>
      <c r="H199" s="45">
        <f>SUMIF(D201:D208,"NU",H201:H208)</f>
        <v>0</v>
      </c>
    </row>
    <row r="200" spans="1:8" ht="15.75" thickBot="1" x14ac:dyDescent="0.3">
      <c r="A200" s="349"/>
      <c r="B200" s="369"/>
      <c r="C200" s="22" t="s">
        <v>207</v>
      </c>
      <c r="D200" s="38" t="s">
        <v>162</v>
      </c>
      <c r="E200" s="22"/>
      <c r="F200" s="22" t="s">
        <v>10</v>
      </c>
      <c r="G200" s="46">
        <f>COUNTIF(D201:D208,"da")</f>
        <v>0</v>
      </c>
      <c r="H200" s="47">
        <f>SUMIF(D201:D208,"DA",H201:H208)</f>
        <v>0</v>
      </c>
    </row>
    <row r="201" spans="1:8" x14ac:dyDescent="0.25">
      <c r="A201" s="349"/>
      <c r="B201" s="369"/>
      <c r="C201" s="29"/>
      <c r="D201" s="40"/>
      <c r="E201" s="29"/>
      <c r="F201" s="29"/>
      <c r="G201" s="22"/>
      <c r="H201" s="41">
        <f t="shared" ref="H201:H208" si="14">IF(F201=0,0,60/F201)</f>
        <v>0</v>
      </c>
    </row>
    <row r="202" spans="1:8" x14ac:dyDescent="0.25">
      <c r="A202" s="349"/>
      <c r="B202" s="369"/>
      <c r="C202" s="29"/>
      <c r="D202" s="40"/>
      <c r="E202" s="29"/>
      <c r="F202" s="29"/>
      <c r="G202" s="22"/>
      <c r="H202" s="41">
        <f t="shared" si="14"/>
        <v>0</v>
      </c>
    </row>
    <row r="203" spans="1:8" x14ac:dyDescent="0.25">
      <c r="A203" s="349"/>
      <c r="B203" s="369"/>
      <c r="C203" s="29"/>
      <c r="D203" s="40"/>
      <c r="E203" s="29"/>
      <c r="F203" s="29"/>
      <c r="G203" s="22"/>
      <c r="H203" s="41">
        <f t="shared" si="14"/>
        <v>0</v>
      </c>
    </row>
    <row r="204" spans="1:8" x14ac:dyDescent="0.25">
      <c r="A204" s="349"/>
      <c r="B204" s="369"/>
      <c r="C204" s="29"/>
      <c r="D204" s="40"/>
      <c r="E204" s="29"/>
      <c r="F204" s="29"/>
      <c r="G204" s="22"/>
      <c r="H204" s="41">
        <f t="shared" si="14"/>
        <v>0</v>
      </c>
    </row>
    <row r="205" spans="1:8" x14ac:dyDescent="0.25">
      <c r="A205" s="349"/>
      <c r="B205" s="369"/>
      <c r="C205" s="29"/>
      <c r="D205" s="40"/>
      <c r="E205" s="29"/>
      <c r="F205" s="29"/>
      <c r="G205" s="22"/>
      <c r="H205" s="41">
        <f>IF(F205=0,0,60/F205)</f>
        <v>0</v>
      </c>
    </row>
    <row r="206" spans="1:8" x14ac:dyDescent="0.25">
      <c r="A206" s="349"/>
      <c r="B206" s="369"/>
      <c r="C206" s="29"/>
      <c r="D206" s="40"/>
      <c r="E206" s="29"/>
      <c r="F206" s="29"/>
      <c r="G206" s="22"/>
      <c r="H206" s="41">
        <f t="shared" si="14"/>
        <v>0</v>
      </c>
    </row>
    <row r="207" spans="1:8" x14ac:dyDescent="0.25">
      <c r="A207" s="349"/>
      <c r="B207" s="369"/>
      <c r="C207" s="29"/>
      <c r="D207" s="40"/>
      <c r="E207" s="29"/>
      <c r="F207" s="29"/>
      <c r="G207" s="22"/>
      <c r="H207" s="41">
        <f t="shared" si="14"/>
        <v>0</v>
      </c>
    </row>
    <row r="208" spans="1:8" ht="15.75" thickBot="1" x14ac:dyDescent="0.3">
      <c r="A208" s="349"/>
      <c r="B208" s="369"/>
      <c r="C208" s="29"/>
      <c r="D208" s="40"/>
      <c r="E208" s="29"/>
      <c r="F208" s="29"/>
      <c r="G208" s="22"/>
      <c r="H208" s="41">
        <f t="shared" si="14"/>
        <v>0</v>
      </c>
    </row>
    <row r="209" spans="1:11" x14ac:dyDescent="0.25">
      <c r="A209" s="349"/>
      <c r="B209" s="369"/>
      <c r="C209" s="22" t="s">
        <v>360</v>
      </c>
      <c r="D209" s="22"/>
      <c r="E209" s="22"/>
      <c r="F209" s="22"/>
      <c r="G209" s="44">
        <f>COUNTIF(D211:D217,"nu")</f>
        <v>0</v>
      </c>
      <c r="H209" s="45">
        <f>SUMIF(D211:D217,"NU",H211:H217)</f>
        <v>0</v>
      </c>
    </row>
    <row r="210" spans="1:11" ht="15.75" thickBot="1" x14ac:dyDescent="0.3">
      <c r="A210" s="349"/>
      <c r="B210" s="369"/>
      <c r="C210" s="22" t="s">
        <v>361</v>
      </c>
      <c r="D210" s="38" t="s">
        <v>162</v>
      </c>
      <c r="E210" s="22"/>
      <c r="F210" s="22"/>
      <c r="G210" s="46">
        <f>COUNTIF(D211:D217,"da")</f>
        <v>0</v>
      </c>
      <c r="H210" s="47">
        <f>SUMIF(D211:D217,"DA",H211:H217)</f>
        <v>0</v>
      </c>
    </row>
    <row r="211" spans="1:11" x14ac:dyDescent="0.25">
      <c r="A211" s="349"/>
      <c r="B211" s="369"/>
      <c r="C211" s="29"/>
      <c r="D211" s="40"/>
      <c r="E211" s="22"/>
      <c r="F211" s="22"/>
      <c r="G211" s="22"/>
      <c r="H211" s="41">
        <f t="shared" ref="H211:H217" si="15">IF(C211=0,0,20)</f>
        <v>0</v>
      </c>
    </row>
    <row r="212" spans="1:11" x14ac:dyDescent="0.25">
      <c r="A212" s="349"/>
      <c r="B212" s="369"/>
      <c r="C212" s="29"/>
      <c r="D212" s="174"/>
      <c r="E212" s="42"/>
      <c r="F212" s="42"/>
      <c r="G212" s="42"/>
      <c r="H212" s="41">
        <f t="shared" si="15"/>
        <v>0</v>
      </c>
    </row>
    <row r="213" spans="1:11" x14ac:dyDescent="0.25">
      <c r="A213" s="349"/>
      <c r="B213" s="369"/>
      <c r="C213" s="29"/>
      <c r="D213" s="174"/>
      <c r="E213" s="42"/>
      <c r="F213" s="42"/>
      <c r="G213" s="42"/>
      <c r="H213" s="41">
        <f t="shared" si="15"/>
        <v>0</v>
      </c>
    </row>
    <row r="214" spans="1:11" x14ac:dyDescent="0.25">
      <c r="A214" s="349"/>
      <c r="B214" s="369"/>
      <c r="C214" s="29"/>
      <c r="D214" s="174"/>
      <c r="E214" s="42"/>
      <c r="F214" s="42"/>
      <c r="G214" s="42"/>
      <c r="H214" s="41">
        <f t="shared" si="15"/>
        <v>0</v>
      </c>
    </row>
    <row r="215" spans="1:11" x14ac:dyDescent="0.25">
      <c r="A215" s="349"/>
      <c r="B215" s="369"/>
      <c r="C215" s="29"/>
      <c r="D215" s="174"/>
      <c r="E215" s="42"/>
      <c r="F215" s="42"/>
      <c r="G215" s="42"/>
      <c r="H215" s="41">
        <f t="shared" si="15"/>
        <v>0</v>
      </c>
    </row>
    <row r="216" spans="1:11" x14ac:dyDescent="0.25">
      <c r="A216" s="349"/>
      <c r="B216" s="369"/>
      <c r="C216" s="29"/>
      <c r="D216" s="174"/>
      <c r="E216" s="42"/>
      <c r="F216" s="42"/>
      <c r="G216" s="42"/>
      <c r="H216" s="41">
        <f t="shared" si="15"/>
        <v>0</v>
      </c>
    </row>
    <row r="217" spans="1:11" ht="15.75" thickBot="1" x14ac:dyDescent="0.3">
      <c r="A217" s="349"/>
      <c r="B217" s="370"/>
      <c r="C217" s="29"/>
      <c r="D217" s="174"/>
      <c r="E217" s="42"/>
      <c r="F217" s="42"/>
      <c r="G217" s="42"/>
      <c r="H217" s="41">
        <f t="shared" si="15"/>
        <v>0</v>
      </c>
    </row>
    <row r="218" spans="1:11" ht="15.75" thickBot="1" x14ac:dyDescent="0.3">
      <c r="A218" s="349"/>
      <c r="B218" s="365" t="s">
        <v>54</v>
      </c>
      <c r="C218" s="13" t="s">
        <v>53</v>
      </c>
      <c r="D218" s="14"/>
      <c r="E218" s="15"/>
      <c r="F218" s="15"/>
      <c r="G218" s="16">
        <f>G219+G228</f>
        <v>0</v>
      </c>
      <c r="H218" s="141">
        <f>H219+H228+H239</f>
        <v>0</v>
      </c>
    </row>
    <row r="219" spans="1:11" x14ac:dyDescent="0.25">
      <c r="A219" s="349"/>
      <c r="B219" s="366"/>
      <c r="C219" s="14" t="s">
        <v>83</v>
      </c>
      <c r="D219" s="14"/>
      <c r="E219" s="14"/>
      <c r="F219" s="14"/>
      <c r="G219" s="44">
        <f>COUNTIF(D221:D227,"nu")</f>
        <v>0</v>
      </c>
      <c r="H219" s="45">
        <f>SUMIF(D221:D227,"NU",H221:H227)</f>
        <v>0</v>
      </c>
      <c r="J219" s="190" t="s">
        <v>75</v>
      </c>
      <c r="K219" s="191" t="s">
        <v>74</v>
      </c>
    </row>
    <row r="220" spans="1:11" ht="30.75" thickBot="1" x14ac:dyDescent="0.3">
      <c r="A220" s="349"/>
      <c r="B220" s="366"/>
      <c r="C220" s="14" t="s">
        <v>216</v>
      </c>
      <c r="D220" s="38" t="s">
        <v>162</v>
      </c>
      <c r="E220" s="68" t="s">
        <v>73</v>
      </c>
      <c r="F220" s="17"/>
      <c r="G220" s="46">
        <f>COUNTIF(D221:D227,"da")</f>
        <v>0</v>
      </c>
      <c r="H220" s="47">
        <f>SUMIF(D221:D227,"DA",H221:H227)</f>
        <v>0</v>
      </c>
      <c r="J220" s="190"/>
      <c r="K220" s="191"/>
    </row>
    <row r="221" spans="1:11" x14ac:dyDescent="0.25">
      <c r="A221" s="349"/>
      <c r="B221" s="366"/>
      <c r="C221" s="18"/>
      <c r="D221" s="126"/>
      <c r="E221" s="18"/>
      <c r="F221" s="18"/>
      <c r="G221" s="18"/>
      <c r="H221" s="19">
        <f t="shared" ref="H221:H227" si="16">IF(C221=0,0,100+50*E221)</f>
        <v>0</v>
      </c>
      <c r="J221" s="192"/>
      <c r="K221" s="193">
        <f t="shared" ref="K221:K227" si="17">IF(E221&lt;=0, 0,IF(E221&lt;1,"OK","Revista cu punctaj peste 1"))</f>
        <v>0</v>
      </c>
    </row>
    <row r="222" spans="1:11" x14ac:dyDescent="0.25">
      <c r="A222" s="349"/>
      <c r="B222" s="366"/>
      <c r="C222" s="18"/>
      <c r="D222" s="126"/>
      <c r="E222" s="18"/>
      <c r="F222" s="18"/>
      <c r="G222" s="18"/>
      <c r="H222" s="19">
        <f t="shared" si="16"/>
        <v>0</v>
      </c>
      <c r="J222" s="192"/>
      <c r="K222" s="193">
        <f t="shared" si="17"/>
        <v>0</v>
      </c>
    </row>
    <row r="223" spans="1:11" x14ac:dyDescent="0.25">
      <c r="A223" s="349"/>
      <c r="B223" s="366"/>
      <c r="C223" s="18"/>
      <c r="D223" s="126"/>
      <c r="E223" s="18"/>
      <c r="F223" s="18"/>
      <c r="G223" s="18"/>
      <c r="H223" s="19">
        <f>IF(C223=0,0,100+50*E223)</f>
        <v>0</v>
      </c>
      <c r="J223" s="192"/>
      <c r="K223" s="193">
        <f t="shared" si="17"/>
        <v>0</v>
      </c>
    </row>
    <row r="224" spans="1:11" x14ac:dyDescent="0.25">
      <c r="A224" s="349"/>
      <c r="B224" s="366"/>
      <c r="C224" s="18"/>
      <c r="D224" s="126"/>
      <c r="E224" s="18"/>
      <c r="F224" s="18"/>
      <c r="G224" s="18"/>
      <c r="H224" s="19">
        <f t="shared" si="16"/>
        <v>0</v>
      </c>
      <c r="J224" s="192"/>
      <c r="K224" s="193">
        <f t="shared" si="17"/>
        <v>0</v>
      </c>
    </row>
    <row r="225" spans="1:11" x14ac:dyDescent="0.25">
      <c r="A225" s="349"/>
      <c r="B225" s="366"/>
      <c r="C225" s="18"/>
      <c r="D225" s="126"/>
      <c r="E225" s="18"/>
      <c r="F225" s="18"/>
      <c r="G225" s="18"/>
      <c r="H225" s="19">
        <f t="shared" si="16"/>
        <v>0</v>
      </c>
      <c r="J225" s="192"/>
      <c r="K225" s="193">
        <f t="shared" si="17"/>
        <v>0</v>
      </c>
    </row>
    <row r="226" spans="1:11" x14ac:dyDescent="0.25">
      <c r="A226" s="349"/>
      <c r="B226" s="366"/>
      <c r="C226" s="18"/>
      <c r="D226" s="126"/>
      <c r="E226" s="18"/>
      <c r="F226" s="18"/>
      <c r="G226" s="18"/>
      <c r="H226" s="19">
        <f t="shared" si="16"/>
        <v>0</v>
      </c>
      <c r="J226" s="192"/>
      <c r="K226" s="193">
        <f t="shared" si="17"/>
        <v>0</v>
      </c>
    </row>
    <row r="227" spans="1:11" ht="15.75" thickBot="1" x14ac:dyDescent="0.3">
      <c r="A227" s="349"/>
      <c r="B227" s="366"/>
      <c r="C227" s="18"/>
      <c r="D227" s="126"/>
      <c r="E227" s="18"/>
      <c r="F227" s="18"/>
      <c r="G227" s="18"/>
      <c r="H227" s="19">
        <f t="shared" si="16"/>
        <v>0</v>
      </c>
      <c r="J227" s="192"/>
      <c r="K227" s="193">
        <f t="shared" si="17"/>
        <v>0</v>
      </c>
    </row>
    <row r="228" spans="1:11" x14ac:dyDescent="0.25">
      <c r="A228" s="349"/>
      <c r="B228" s="366"/>
      <c r="C228" s="14" t="s">
        <v>350</v>
      </c>
      <c r="D228" s="14"/>
      <c r="E228" s="68"/>
      <c r="F228" s="14"/>
      <c r="G228" s="44">
        <f>COUNTIF(D230:D238,"nu")</f>
        <v>0</v>
      </c>
      <c r="H228" s="45">
        <f>SUMIF(D230:D238,"NU",H230:H238)</f>
        <v>0</v>
      </c>
      <c r="J228" s="192"/>
      <c r="K228" s="193"/>
    </row>
    <row r="229" spans="1:11" ht="30.75" thickBot="1" x14ac:dyDescent="0.3">
      <c r="A229" s="349"/>
      <c r="B229" s="366"/>
      <c r="C229" s="14" t="s">
        <v>351</v>
      </c>
      <c r="D229" s="38" t="s">
        <v>162</v>
      </c>
      <c r="E229" s="68" t="s">
        <v>73</v>
      </c>
      <c r="F229" s="14" t="s">
        <v>10</v>
      </c>
      <c r="G229" s="46">
        <f>COUNTIF(D230:D238,"da")</f>
        <v>0</v>
      </c>
      <c r="H229" s="47">
        <f>SUMIF(D230:D238,"DA",H230:H238)</f>
        <v>0</v>
      </c>
      <c r="J229" s="192"/>
      <c r="K229" s="193"/>
    </row>
    <row r="230" spans="1:11" x14ac:dyDescent="0.25">
      <c r="A230" s="349"/>
      <c r="B230" s="366"/>
      <c r="C230" s="18"/>
      <c r="D230" s="126"/>
      <c r="E230" s="18"/>
      <c r="F230" s="18"/>
      <c r="G230" s="18"/>
      <c r="H230" s="19">
        <f>IF(F230=0,0,(100+50*E230)/F230)</f>
        <v>0</v>
      </c>
      <c r="J230" s="192"/>
      <c r="K230" s="193">
        <f>IF(E230&lt;=0, 0,IF(E230&lt;1,"OK","Revista cu punctaj peste 1"))</f>
        <v>0</v>
      </c>
    </row>
    <row r="231" spans="1:11" x14ac:dyDescent="0.25">
      <c r="A231" s="349"/>
      <c r="B231" s="366"/>
      <c r="C231" s="18"/>
      <c r="D231" s="126"/>
      <c r="E231" s="18"/>
      <c r="F231" s="18"/>
      <c r="G231" s="18"/>
      <c r="H231" s="19">
        <f t="shared" ref="H231:H238" si="18">IF(F231=0,0,(100+50*E231)/F231)</f>
        <v>0</v>
      </c>
      <c r="J231" s="192"/>
      <c r="K231" s="193">
        <f t="shared" ref="K231:K236" si="19">IF(E231&lt;=0, 0,IF(E231&lt;1,"OK","Revista cu punctaj peste 1"))</f>
        <v>0</v>
      </c>
    </row>
    <row r="232" spans="1:11" x14ac:dyDescent="0.25">
      <c r="A232" s="349"/>
      <c r="B232" s="366"/>
      <c r="C232" s="18"/>
      <c r="D232" s="126"/>
      <c r="E232" s="18"/>
      <c r="F232" s="18"/>
      <c r="G232" s="18"/>
      <c r="H232" s="19">
        <f t="shared" si="18"/>
        <v>0</v>
      </c>
      <c r="J232" s="192"/>
      <c r="K232" s="193">
        <f t="shared" si="19"/>
        <v>0</v>
      </c>
    </row>
    <row r="233" spans="1:11" x14ac:dyDescent="0.25">
      <c r="A233" s="349"/>
      <c r="B233" s="366"/>
      <c r="C233" s="18"/>
      <c r="D233" s="126"/>
      <c r="E233" s="18"/>
      <c r="F233" s="18"/>
      <c r="G233" s="18"/>
      <c r="H233" s="19">
        <f t="shared" si="18"/>
        <v>0</v>
      </c>
      <c r="J233" s="192"/>
      <c r="K233" s="193">
        <f t="shared" si="19"/>
        <v>0</v>
      </c>
    </row>
    <row r="234" spans="1:11" x14ac:dyDescent="0.25">
      <c r="A234" s="349"/>
      <c r="B234" s="366"/>
      <c r="C234" s="18"/>
      <c r="D234" s="126"/>
      <c r="E234" s="18"/>
      <c r="F234" s="18"/>
      <c r="G234" s="18"/>
      <c r="H234" s="19">
        <f t="shared" si="18"/>
        <v>0</v>
      </c>
      <c r="J234" s="192"/>
      <c r="K234" s="193">
        <f t="shared" si="19"/>
        <v>0</v>
      </c>
    </row>
    <row r="235" spans="1:11" x14ac:dyDescent="0.25">
      <c r="A235" s="349"/>
      <c r="B235" s="366"/>
      <c r="C235" s="18"/>
      <c r="D235" s="126"/>
      <c r="E235" s="18"/>
      <c r="F235" s="18"/>
      <c r="G235" s="18"/>
      <c r="H235" s="19">
        <f t="shared" si="18"/>
        <v>0</v>
      </c>
      <c r="J235" s="192"/>
      <c r="K235" s="193">
        <f t="shared" si="19"/>
        <v>0</v>
      </c>
    </row>
    <row r="236" spans="1:11" x14ac:dyDescent="0.25">
      <c r="A236" s="349"/>
      <c r="B236" s="366"/>
      <c r="C236" s="18"/>
      <c r="D236" s="126"/>
      <c r="E236" s="18"/>
      <c r="F236" s="18"/>
      <c r="G236" s="18"/>
      <c r="H236" s="19">
        <f t="shared" si="18"/>
        <v>0</v>
      </c>
      <c r="J236" s="192"/>
      <c r="K236" s="193">
        <f t="shared" si="19"/>
        <v>0</v>
      </c>
    </row>
    <row r="237" spans="1:11" x14ac:dyDescent="0.25">
      <c r="A237" s="349"/>
      <c r="B237" s="366"/>
      <c r="C237" s="18"/>
      <c r="D237" s="126"/>
      <c r="E237" s="18"/>
      <c r="F237" s="18"/>
      <c r="G237" s="18"/>
      <c r="H237" s="19">
        <f t="shared" si="18"/>
        <v>0</v>
      </c>
      <c r="J237" s="192"/>
      <c r="K237" s="193">
        <f>IF(E237&lt;=0, 0,IF(E237&lt;1,"OK","Revista cu punctaj peste 1"))</f>
        <v>0</v>
      </c>
    </row>
    <row r="238" spans="1:11" ht="15.75" thickBot="1" x14ac:dyDescent="0.3">
      <c r="A238" s="349"/>
      <c r="B238" s="366"/>
      <c r="C238" s="18"/>
      <c r="D238" s="126"/>
      <c r="E238" s="18"/>
      <c r="F238" s="18"/>
      <c r="G238" s="18"/>
      <c r="H238" s="19">
        <f t="shared" si="18"/>
        <v>0</v>
      </c>
      <c r="J238" s="192"/>
      <c r="K238" s="193">
        <f>IF(E238&lt;=0, 0,IF(E238&lt;1,"OK","Revista cu punctaj peste 1"))</f>
        <v>0</v>
      </c>
    </row>
    <row r="239" spans="1:11" x14ac:dyDescent="0.25">
      <c r="A239" s="349"/>
      <c r="B239" s="366"/>
      <c r="C239" s="14" t="s">
        <v>362</v>
      </c>
      <c r="D239" s="14"/>
      <c r="E239" s="14"/>
      <c r="F239" s="14"/>
      <c r="G239" s="44">
        <f>COUNTIF(D241:D248,"nu")</f>
        <v>0</v>
      </c>
      <c r="H239" s="45">
        <f>SUMIF(D241:D248,"NU",H241:H248)</f>
        <v>0</v>
      </c>
    </row>
    <row r="240" spans="1:11" ht="15.75" thickBot="1" x14ac:dyDescent="0.3">
      <c r="A240" s="349"/>
      <c r="B240" s="366"/>
      <c r="C240" s="14" t="s">
        <v>363</v>
      </c>
      <c r="D240" s="38" t="s">
        <v>162</v>
      </c>
      <c r="E240" s="14"/>
      <c r="F240" s="14"/>
      <c r="G240" s="46">
        <f>COUNTIF(D241:D248,"da")</f>
        <v>0</v>
      </c>
      <c r="H240" s="47">
        <f>SUMIF(D241:D248,"DA",H241:H248)</f>
        <v>0</v>
      </c>
    </row>
    <row r="241" spans="1:11" x14ac:dyDescent="0.25">
      <c r="A241" s="349"/>
      <c r="B241" s="366"/>
      <c r="C241" s="18"/>
      <c r="D241" s="126"/>
      <c r="E241" s="14"/>
      <c r="F241" s="14"/>
      <c r="G241" s="14"/>
      <c r="H241" s="19">
        <f t="shared" ref="H241:H248" si="20">IF(C241=0,0,30)</f>
        <v>0</v>
      </c>
    </row>
    <row r="242" spans="1:11" x14ac:dyDescent="0.25">
      <c r="A242" s="349"/>
      <c r="B242" s="366"/>
      <c r="C242" s="18"/>
      <c r="D242" s="126"/>
      <c r="E242" s="14"/>
      <c r="F242" s="14"/>
      <c r="G242" s="20"/>
      <c r="H242" s="19">
        <f t="shared" si="20"/>
        <v>0</v>
      </c>
    </row>
    <row r="243" spans="1:11" x14ac:dyDescent="0.25">
      <c r="A243" s="349"/>
      <c r="B243" s="366"/>
      <c r="C243" s="18"/>
      <c r="D243" s="126"/>
      <c r="E243" s="14"/>
      <c r="F243" s="14"/>
      <c r="G243" s="20"/>
      <c r="H243" s="19">
        <f t="shared" si="20"/>
        <v>0</v>
      </c>
    </row>
    <row r="244" spans="1:11" x14ac:dyDescent="0.25">
      <c r="A244" s="349"/>
      <c r="B244" s="366"/>
      <c r="C244" s="18"/>
      <c r="D244" s="126"/>
      <c r="E244" s="14"/>
      <c r="F244" s="14"/>
      <c r="G244" s="20"/>
      <c r="H244" s="19">
        <f t="shared" si="20"/>
        <v>0</v>
      </c>
    </row>
    <row r="245" spans="1:11" x14ac:dyDescent="0.25">
      <c r="A245" s="349"/>
      <c r="B245" s="366"/>
      <c r="C245" s="18"/>
      <c r="D245" s="126"/>
      <c r="E245" s="14"/>
      <c r="F245" s="14"/>
      <c r="G245" s="20"/>
      <c r="H245" s="19">
        <f t="shared" si="20"/>
        <v>0</v>
      </c>
    </row>
    <row r="246" spans="1:11" x14ac:dyDescent="0.25">
      <c r="A246" s="349"/>
      <c r="B246" s="366"/>
      <c r="C246" s="18"/>
      <c r="D246" s="126"/>
      <c r="E246" s="14"/>
      <c r="F246" s="14"/>
      <c r="G246" s="20"/>
      <c r="H246" s="19">
        <f t="shared" si="20"/>
        <v>0</v>
      </c>
    </row>
    <row r="247" spans="1:11" x14ac:dyDescent="0.25">
      <c r="A247" s="349"/>
      <c r="B247" s="366"/>
      <c r="C247" s="18"/>
      <c r="D247" s="126"/>
      <c r="E247" s="14"/>
      <c r="F247" s="14"/>
      <c r="G247" s="20"/>
      <c r="H247" s="19">
        <f t="shared" si="20"/>
        <v>0</v>
      </c>
    </row>
    <row r="248" spans="1:11" ht="15.75" thickBot="1" x14ac:dyDescent="0.3">
      <c r="A248" s="349"/>
      <c r="B248" s="367"/>
      <c r="C248" s="18"/>
      <c r="D248" s="126"/>
      <c r="E248" s="14"/>
      <c r="F248" s="14"/>
      <c r="G248" s="20"/>
      <c r="H248" s="19">
        <f t="shared" si="20"/>
        <v>0</v>
      </c>
    </row>
    <row r="249" spans="1:11" ht="15.75" thickBot="1" x14ac:dyDescent="0.3">
      <c r="A249" s="349"/>
      <c r="B249" s="365" t="s">
        <v>214</v>
      </c>
      <c r="C249" s="13" t="s">
        <v>55</v>
      </c>
      <c r="D249" s="14"/>
      <c r="E249" s="15"/>
      <c r="F249" s="15"/>
      <c r="G249" s="16">
        <f>G250+G261</f>
        <v>0</v>
      </c>
      <c r="H249" s="141">
        <f>H250+H261+H276+H287</f>
        <v>0</v>
      </c>
    </row>
    <row r="250" spans="1:11" x14ac:dyDescent="0.25">
      <c r="A250" s="349"/>
      <c r="B250" s="366"/>
      <c r="C250" s="14" t="s">
        <v>84</v>
      </c>
      <c r="D250" s="14"/>
      <c r="E250" s="14"/>
      <c r="F250" s="14"/>
      <c r="G250" s="44">
        <f>COUNTIF(D252:D260,"nu")</f>
        <v>0</v>
      </c>
      <c r="H250" s="45">
        <f>SUMIF(D252:D260,"NU",H252:H260)</f>
        <v>0</v>
      </c>
      <c r="J250" s="190" t="s">
        <v>113</v>
      </c>
      <c r="K250" s="191" t="s">
        <v>74</v>
      </c>
    </row>
    <row r="251" spans="1:11" ht="30.75" thickBot="1" x14ac:dyDescent="0.3">
      <c r="A251" s="349"/>
      <c r="B251" s="366"/>
      <c r="C251" s="14" t="s">
        <v>217</v>
      </c>
      <c r="D251" s="38" t="s">
        <v>162</v>
      </c>
      <c r="E251" s="68" t="s">
        <v>73</v>
      </c>
      <c r="F251" s="17"/>
      <c r="G251" s="46">
        <f>COUNTIF(D252:D260,"da")</f>
        <v>0</v>
      </c>
      <c r="H251" s="47">
        <f>SUMIF(D252:D260,"DA",H252:H260)</f>
        <v>0</v>
      </c>
      <c r="J251" s="190"/>
      <c r="K251" s="191"/>
    </row>
    <row r="252" spans="1:11" x14ac:dyDescent="0.25">
      <c r="A252" s="349"/>
      <c r="B252" s="366"/>
      <c r="C252" s="18"/>
      <c r="D252" s="126"/>
      <c r="E252" s="18"/>
      <c r="F252" s="18"/>
      <c r="G252" s="18"/>
      <c r="H252" s="19">
        <f>IF(C252=0,0,100+100*E252)</f>
        <v>0</v>
      </c>
      <c r="J252" s="192"/>
      <c r="K252" s="193">
        <f>IF(E252&lt;=0, 0,IF(E252&gt;=1,"OK","Revista cu punctaj sub 1"))</f>
        <v>0</v>
      </c>
    </row>
    <row r="253" spans="1:11" x14ac:dyDescent="0.25">
      <c r="A253" s="349"/>
      <c r="B253" s="366"/>
      <c r="C253" s="18"/>
      <c r="D253" s="126"/>
      <c r="E253" s="18"/>
      <c r="F253" s="18"/>
      <c r="G253" s="18"/>
      <c r="H253" s="19">
        <f t="shared" ref="H253:H258" si="21">IF(C253=0,0,100+100*E253)</f>
        <v>0</v>
      </c>
      <c r="J253" s="192"/>
      <c r="K253" s="193">
        <f t="shared" ref="K253:K258" si="22">IF(E253&lt;=0, 0,IF(E253&gt;=1,"OK","Revista cu punctaj sub 1"))</f>
        <v>0</v>
      </c>
    </row>
    <row r="254" spans="1:11" x14ac:dyDescent="0.25">
      <c r="A254" s="349"/>
      <c r="B254" s="366"/>
      <c r="C254" s="18"/>
      <c r="D254" s="126"/>
      <c r="E254" s="18"/>
      <c r="F254" s="18"/>
      <c r="G254" s="18"/>
      <c r="H254" s="19">
        <f t="shared" si="21"/>
        <v>0</v>
      </c>
      <c r="J254" s="192"/>
      <c r="K254" s="193">
        <f t="shared" si="22"/>
        <v>0</v>
      </c>
    </row>
    <row r="255" spans="1:11" x14ac:dyDescent="0.25">
      <c r="A255" s="349"/>
      <c r="B255" s="366"/>
      <c r="C255" s="18"/>
      <c r="D255" s="126"/>
      <c r="E255" s="18"/>
      <c r="F255" s="18"/>
      <c r="G255" s="18"/>
      <c r="H255" s="19">
        <f t="shared" si="21"/>
        <v>0</v>
      </c>
      <c r="J255" s="192"/>
      <c r="K255" s="193">
        <f t="shared" si="22"/>
        <v>0</v>
      </c>
    </row>
    <row r="256" spans="1:11" x14ac:dyDescent="0.25">
      <c r="A256" s="349"/>
      <c r="B256" s="366"/>
      <c r="C256" s="18"/>
      <c r="D256" s="126"/>
      <c r="E256" s="18"/>
      <c r="F256" s="18"/>
      <c r="G256" s="18"/>
      <c r="H256" s="19">
        <f t="shared" si="21"/>
        <v>0</v>
      </c>
      <c r="J256" s="192"/>
      <c r="K256" s="193">
        <f t="shared" si="22"/>
        <v>0</v>
      </c>
    </row>
    <row r="257" spans="1:11" x14ac:dyDescent="0.25">
      <c r="A257" s="349"/>
      <c r="B257" s="366"/>
      <c r="C257" s="18"/>
      <c r="D257" s="126"/>
      <c r="E257" s="18"/>
      <c r="F257" s="18"/>
      <c r="G257" s="18"/>
      <c r="H257" s="19">
        <f t="shared" si="21"/>
        <v>0</v>
      </c>
      <c r="J257" s="192"/>
      <c r="K257" s="193">
        <f t="shared" si="22"/>
        <v>0</v>
      </c>
    </row>
    <row r="258" spans="1:11" x14ac:dyDescent="0.25">
      <c r="A258" s="349"/>
      <c r="B258" s="366"/>
      <c r="C258" s="18"/>
      <c r="D258" s="126"/>
      <c r="E258" s="18"/>
      <c r="F258" s="18"/>
      <c r="G258" s="18"/>
      <c r="H258" s="19">
        <f t="shared" si="21"/>
        <v>0</v>
      </c>
      <c r="J258" s="192"/>
      <c r="K258" s="193">
        <f t="shared" si="22"/>
        <v>0</v>
      </c>
    </row>
    <row r="259" spans="1:11" x14ac:dyDescent="0.25">
      <c r="A259" s="349"/>
      <c r="B259" s="366"/>
      <c r="C259" s="18"/>
      <c r="D259" s="126"/>
      <c r="E259" s="18"/>
      <c r="F259" s="18"/>
      <c r="G259" s="18"/>
      <c r="H259" s="19">
        <f>IF(C259=0,0,100+100*E259)</f>
        <v>0</v>
      </c>
      <c r="J259" s="192"/>
      <c r="K259" s="193">
        <f>IF(E259&lt;=0, 0,IF(E259&gt;=1,"OK","Revista cu punctaj sub 1"))</f>
        <v>0</v>
      </c>
    </row>
    <row r="260" spans="1:11" ht="15.75" thickBot="1" x14ac:dyDescent="0.3">
      <c r="A260" s="349"/>
      <c r="B260" s="366"/>
      <c r="C260" s="18"/>
      <c r="D260" s="126"/>
      <c r="E260" s="18"/>
      <c r="F260" s="18"/>
      <c r="G260" s="18"/>
      <c r="H260" s="19">
        <f>IF(C260=0,0,100+100*E260)</f>
        <v>0</v>
      </c>
      <c r="J260" s="192"/>
      <c r="K260" s="193">
        <f>IF(E260&lt;=0, 0,IF(E260&gt;=1,"OK","Revista cu punctaj sub 1"))</f>
        <v>0</v>
      </c>
    </row>
    <row r="261" spans="1:11" x14ac:dyDescent="0.25">
      <c r="A261" s="349"/>
      <c r="B261" s="366"/>
      <c r="C261" s="14" t="s">
        <v>352</v>
      </c>
      <c r="D261" s="14"/>
      <c r="E261" s="68"/>
      <c r="F261" s="14"/>
      <c r="G261" s="44">
        <f>COUNTIF(D263:D275,"nu")</f>
        <v>0</v>
      </c>
      <c r="H261" s="45">
        <f>SUMIF(D263:D275,"NU",H263:H275)</f>
        <v>0</v>
      </c>
      <c r="J261" s="192"/>
      <c r="K261" s="193"/>
    </row>
    <row r="262" spans="1:11" ht="30.75" thickBot="1" x14ac:dyDescent="0.3">
      <c r="A262" s="349"/>
      <c r="B262" s="366"/>
      <c r="C262" s="14" t="s">
        <v>263</v>
      </c>
      <c r="D262" s="38" t="s">
        <v>162</v>
      </c>
      <c r="E262" s="68" t="s">
        <v>73</v>
      </c>
      <c r="F262" s="14" t="s">
        <v>10</v>
      </c>
      <c r="G262" s="46">
        <f>COUNTIF(D263:D275,"da")</f>
        <v>0</v>
      </c>
      <c r="H262" s="47">
        <f>SUMIF(D263:D275,"DA",H263:H275)</f>
        <v>0</v>
      </c>
      <c r="J262" s="192"/>
      <c r="K262" s="193"/>
    </row>
    <row r="263" spans="1:11" x14ac:dyDescent="0.25">
      <c r="A263" s="349"/>
      <c r="B263" s="366"/>
      <c r="C263" s="18"/>
      <c r="D263" s="126"/>
      <c r="E263" s="18"/>
      <c r="F263" s="18"/>
      <c r="G263" s="18"/>
      <c r="H263" s="19">
        <f>IF(F263=0,0,(100+100*E263)/F263)</f>
        <v>0</v>
      </c>
      <c r="J263" s="192"/>
      <c r="K263" s="193">
        <f>IF(E263&lt;=0, 0,IF(E263&gt;=1,"OK","Revista cu punctaj sub 1"))</f>
        <v>0</v>
      </c>
    </row>
    <row r="264" spans="1:11" x14ac:dyDescent="0.25">
      <c r="A264" s="349"/>
      <c r="B264" s="366"/>
      <c r="C264" s="18"/>
      <c r="D264" s="126"/>
      <c r="E264" s="18"/>
      <c r="F264" s="18"/>
      <c r="G264" s="18"/>
      <c r="H264" s="19">
        <f t="shared" ref="H264:H275" si="23">IF(F264=0,0,(100+100*E264)/F264)</f>
        <v>0</v>
      </c>
      <c r="J264" s="192"/>
      <c r="K264" s="193">
        <f t="shared" ref="K264:K273" si="24">IF(E264&lt;=0, 0,IF(E264&gt;=1,"OK","Revista cu punctaj sub 1"))</f>
        <v>0</v>
      </c>
    </row>
    <row r="265" spans="1:11" x14ac:dyDescent="0.25">
      <c r="A265" s="349"/>
      <c r="B265" s="366"/>
      <c r="C265" s="18"/>
      <c r="D265" s="126"/>
      <c r="E265" s="18"/>
      <c r="F265" s="18"/>
      <c r="G265" s="18"/>
      <c r="H265" s="19">
        <f t="shared" si="23"/>
        <v>0</v>
      </c>
      <c r="J265" s="192"/>
      <c r="K265" s="193">
        <f t="shared" si="24"/>
        <v>0</v>
      </c>
    </row>
    <row r="266" spans="1:11" x14ac:dyDescent="0.25">
      <c r="A266" s="349"/>
      <c r="B266" s="366"/>
      <c r="C266" s="18"/>
      <c r="D266" s="126"/>
      <c r="E266" s="18"/>
      <c r="F266" s="18"/>
      <c r="G266" s="18"/>
      <c r="H266" s="19">
        <f t="shared" si="23"/>
        <v>0</v>
      </c>
      <c r="J266" s="192"/>
      <c r="K266" s="193">
        <f t="shared" si="24"/>
        <v>0</v>
      </c>
    </row>
    <row r="267" spans="1:11" x14ac:dyDescent="0.25">
      <c r="A267" s="349"/>
      <c r="B267" s="366"/>
      <c r="C267" s="18"/>
      <c r="D267" s="126"/>
      <c r="E267" s="18"/>
      <c r="F267" s="18"/>
      <c r="G267" s="18"/>
      <c r="H267" s="19">
        <f t="shared" si="23"/>
        <v>0</v>
      </c>
      <c r="J267" s="192"/>
      <c r="K267" s="193">
        <f t="shared" si="24"/>
        <v>0</v>
      </c>
    </row>
    <row r="268" spans="1:11" x14ac:dyDescent="0.25">
      <c r="A268" s="349"/>
      <c r="B268" s="366"/>
      <c r="C268" s="18"/>
      <c r="D268" s="126"/>
      <c r="E268" s="18"/>
      <c r="F268" s="18"/>
      <c r="G268" s="18"/>
      <c r="H268" s="19">
        <f t="shared" si="23"/>
        <v>0</v>
      </c>
      <c r="J268" s="192"/>
      <c r="K268" s="193">
        <f t="shared" si="24"/>
        <v>0</v>
      </c>
    </row>
    <row r="269" spans="1:11" x14ac:dyDescent="0.25">
      <c r="A269" s="349"/>
      <c r="B269" s="366"/>
      <c r="C269" s="18"/>
      <c r="D269" s="126"/>
      <c r="E269" s="18"/>
      <c r="F269" s="18"/>
      <c r="G269" s="18"/>
      <c r="H269" s="19">
        <f t="shared" si="23"/>
        <v>0</v>
      </c>
      <c r="J269" s="192"/>
      <c r="K269" s="193">
        <f t="shared" si="24"/>
        <v>0</v>
      </c>
    </row>
    <row r="270" spans="1:11" x14ac:dyDescent="0.25">
      <c r="A270" s="349"/>
      <c r="B270" s="366"/>
      <c r="C270" s="18"/>
      <c r="D270" s="126"/>
      <c r="E270" s="18"/>
      <c r="F270" s="18"/>
      <c r="G270" s="18"/>
      <c r="H270" s="19">
        <f t="shared" si="23"/>
        <v>0</v>
      </c>
      <c r="J270" s="192"/>
      <c r="K270" s="193">
        <f t="shared" si="24"/>
        <v>0</v>
      </c>
    </row>
    <row r="271" spans="1:11" x14ac:dyDescent="0.25">
      <c r="A271" s="349"/>
      <c r="B271" s="366"/>
      <c r="C271" s="18"/>
      <c r="D271" s="126"/>
      <c r="E271" s="18"/>
      <c r="F271" s="18"/>
      <c r="G271" s="18"/>
      <c r="H271" s="19">
        <f t="shared" si="23"/>
        <v>0</v>
      </c>
      <c r="J271" s="192"/>
      <c r="K271" s="193">
        <f t="shared" si="24"/>
        <v>0</v>
      </c>
    </row>
    <row r="272" spans="1:11" x14ac:dyDescent="0.25">
      <c r="A272" s="349"/>
      <c r="B272" s="366"/>
      <c r="C272" s="18"/>
      <c r="D272" s="126"/>
      <c r="E272" s="18"/>
      <c r="F272" s="18"/>
      <c r="G272" s="18"/>
      <c r="H272" s="19">
        <f t="shared" si="23"/>
        <v>0</v>
      </c>
      <c r="J272" s="192"/>
      <c r="K272" s="193">
        <f t="shared" si="24"/>
        <v>0</v>
      </c>
    </row>
    <row r="273" spans="1:11" x14ac:dyDescent="0.25">
      <c r="A273" s="349"/>
      <c r="B273" s="366"/>
      <c r="C273" s="18"/>
      <c r="D273" s="126"/>
      <c r="E273" s="18"/>
      <c r="F273" s="18"/>
      <c r="G273" s="18"/>
      <c r="H273" s="19">
        <f t="shared" si="23"/>
        <v>0</v>
      </c>
      <c r="J273" s="192"/>
      <c r="K273" s="193">
        <f t="shared" si="24"/>
        <v>0</v>
      </c>
    </row>
    <row r="274" spans="1:11" x14ac:dyDescent="0.25">
      <c r="A274" s="349"/>
      <c r="B274" s="366"/>
      <c r="C274" s="18"/>
      <c r="D274" s="126"/>
      <c r="E274" s="18"/>
      <c r="F274" s="18"/>
      <c r="G274" s="18"/>
      <c r="H274" s="19">
        <f t="shared" si="23"/>
        <v>0</v>
      </c>
      <c r="J274" s="192"/>
      <c r="K274" s="193">
        <f>IF(E274&lt;=0, 0,IF(E274&gt;=1,"OK","Revista cu punctaj sub 1"))</f>
        <v>0</v>
      </c>
    </row>
    <row r="275" spans="1:11" ht="15.75" thickBot="1" x14ac:dyDescent="0.3">
      <c r="A275" s="349"/>
      <c r="B275" s="366"/>
      <c r="C275" s="18"/>
      <c r="D275" s="126"/>
      <c r="E275" s="18"/>
      <c r="F275" s="18"/>
      <c r="G275" s="18"/>
      <c r="H275" s="19">
        <f t="shared" si="23"/>
        <v>0</v>
      </c>
      <c r="J275" s="192"/>
      <c r="K275" s="193">
        <f>IF(E275&lt;=0, 0,IF(E275&gt;=1,"OK","Revista cu punctaj sub 1"))</f>
        <v>0</v>
      </c>
    </row>
    <row r="276" spans="1:11" x14ac:dyDescent="0.25">
      <c r="A276" s="349"/>
      <c r="B276" s="366"/>
      <c r="C276" s="14" t="s">
        <v>364</v>
      </c>
      <c r="D276" s="14"/>
      <c r="E276" s="14"/>
      <c r="F276" s="14"/>
      <c r="G276" s="44">
        <f>COUNTIF(D278:D286,"nu")</f>
        <v>0</v>
      </c>
      <c r="H276" s="45">
        <f>SUMIF(D278:D286,"NU",H278:H286)</f>
        <v>0</v>
      </c>
    </row>
    <row r="277" spans="1:11" ht="30.75" thickBot="1" x14ac:dyDescent="0.3">
      <c r="A277" s="349"/>
      <c r="B277" s="366"/>
      <c r="C277" s="251" t="s">
        <v>367</v>
      </c>
      <c r="D277" s="38" t="s">
        <v>162</v>
      </c>
      <c r="E277" s="14"/>
      <c r="F277" s="14"/>
      <c r="G277" s="46">
        <f>COUNTIF(D278:D286,"da")</f>
        <v>0</v>
      </c>
      <c r="H277" s="47">
        <f>SUMIF(D278:D286,"DA",H278:H286)</f>
        <v>0</v>
      </c>
    </row>
    <row r="278" spans="1:11" x14ac:dyDescent="0.25">
      <c r="A278" s="349"/>
      <c r="B278" s="366"/>
      <c r="C278" s="18"/>
      <c r="D278" s="126"/>
      <c r="E278" s="14"/>
      <c r="F278" s="14"/>
      <c r="G278" s="14"/>
      <c r="H278" s="19">
        <f>IF(C278=0,0,80)</f>
        <v>0</v>
      </c>
    </row>
    <row r="279" spans="1:11" x14ac:dyDescent="0.25">
      <c r="A279" s="349"/>
      <c r="B279" s="366"/>
      <c r="C279" s="18"/>
      <c r="D279" s="126"/>
      <c r="E279" s="14"/>
      <c r="F279" s="14"/>
      <c r="G279" s="20"/>
      <c r="H279" s="19">
        <f t="shared" ref="H279:H284" si="25">IF(C279=0,0,80)</f>
        <v>0</v>
      </c>
    </row>
    <row r="280" spans="1:11" x14ac:dyDescent="0.25">
      <c r="A280" s="349"/>
      <c r="B280" s="366"/>
      <c r="C280" s="18"/>
      <c r="D280" s="126"/>
      <c r="E280" s="14"/>
      <c r="F280" s="14"/>
      <c r="G280" s="20"/>
      <c r="H280" s="19">
        <f t="shared" si="25"/>
        <v>0</v>
      </c>
    </row>
    <row r="281" spans="1:11" x14ac:dyDescent="0.25">
      <c r="A281" s="349"/>
      <c r="B281" s="366"/>
      <c r="C281" s="18"/>
      <c r="D281" s="126"/>
      <c r="E281" s="14"/>
      <c r="F281" s="14"/>
      <c r="G281" s="20"/>
      <c r="H281" s="19">
        <f t="shared" si="25"/>
        <v>0</v>
      </c>
    </row>
    <row r="282" spans="1:11" x14ac:dyDescent="0.25">
      <c r="A282" s="349"/>
      <c r="B282" s="366"/>
      <c r="C282" s="18"/>
      <c r="D282" s="126"/>
      <c r="E282" s="14"/>
      <c r="F282" s="14"/>
      <c r="G282" s="20"/>
      <c r="H282" s="19">
        <f t="shared" si="25"/>
        <v>0</v>
      </c>
    </row>
    <row r="283" spans="1:11" x14ac:dyDescent="0.25">
      <c r="A283" s="349"/>
      <c r="B283" s="366"/>
      <c r="C283" s="18"/>
      <c r="D283" s="126"/>
      <c r="E283" s="14"/>
      <c r="F283" s="14"/>
      <c r="G283" s="20"/>
      <c r="H283" s="19">
        <f t="shared" si="25"/>
        <v>0</v>
      </c>
    </row>
    <row r="284" spans="1:11" x14ac:dyDescent="0.25">
      <c r="A284" s="349"/>
      <c r="B284" s="366"/>
      <c r="C284" s="18"/>
      <c r="D284" s="126"/>
      <c r="E284" s="14"/>
      <c r="F284" s="14"/>
      <c r="G284" s="20"/>
      <c r="H284" s="19">
        <f t="shared" si="25"/>
        <v>0</v>
      </c>
    </row>
    <row r="285" spans="1:11" x14ac:dyDescent="0.25">
      <c r="A285" s="349"/>
      <c r="B285" s="366"/>
      <c r="C285" s="18"/>
      <c r="D285" s="126"/>
      <c r="E285" s="14"/>
      <c r="F285" s="14"/>
      <c r="G285" s="20"/>
      <c r="H285" s="19">
        <f>IF(C285=0,0,80)</f>
        <v>0</v>
      </c>
    </row>
    <row r="286" spans="1:11" ht="15.75" thickBot="1" x14ac:dyDescent="0.3">
      <c r="A286" s="349"/>
      <c r="B286" s="366"/>
      <c r="C286" s="18"/>
      <c r="D286" s="126"/>
      <c r="E286" s="14"/>
      <c r="F286" s="14"/>
      <c r="G286" s="146"/>
      <c r="H286" s="19">
        <f>IF(C286=0,0,80)</f>
        <v>0</v>
      </c>
    </row>
    <row r="287" spans="1:11" x14ac:dyDescent="0.25">
      <c r="A287" s="349"/>
      <c r="B287" s="366"/>
      <c r="C287" s="145" t="s">
        <v>365</v>
      </c>
      <c r="D287" s="145"/>
      <c r="E287" s="145"/>
      <c r="F287" s="145"/>
      <c r="G287" s="44">
        <f>COUNTIF(D289:D296,"nu")</f>
        <v>0</v>
      </c>
      <c r="H287" s="45">
        <f>SUMIF(D289:D296,"NU",H289:H296)</f>
        <v>0</v>
      </c>
    </row>
    <row r="288" spans="1:11" ht="30.75" thickBot="1" x14ac:dyDescent="0.3">
      <c r="A288" s="349"/>
      <c r="B288" s="366"/>
      <c r="C288" s="251" t="s">
        <v>366</v>
      </c>
      <c r="D288" s="38" t="s">
        <v>162</v>
      </c>
      <c r="E288" s="14"/>
      <c r="F288" s="14"/>
      <c r="G288" s="46">
        <f>COUNTIF(D289:D296,"da")</f>
        <v>0</v>
      </c>
      <c r="H288" s="47">
        <f>SUMIF(D289:D296,"DA",H289:H296)</f>
        <v>0</v>
      </c>
    </row>
    <row r="289" spans="1:8" x14ac:dyDescent="0.25">
      <c r="A289" s="349"/>
      <c r="B289" s="366"/>
      <c r="C289" s="18"/>
      <c r="D289" s="126"/>
      <c r="E289" s="14"/>
      <c r="F289" s="14"/>
      <c r="G289" s="20"/>
      <c r="H289" s="19">
        <f t="shared" ref="H289:H296" si="26">IF(C289=0,0,100)</f>
        <v>0</v>
      </c>
    </row>
    <row r="290" spans="1:8" x14ac:dyDescent="0.25">
      <c r="A290" s="349"/>
      <c r="B290" s="366"/>
      <c r="C290" s="18"/>
      <c r="D290" s="126"/>
      <c r="E290" s="14"/>
      <c r="F290" s="14"/>
      <c r="G290" s="20"/>
      <c r="H290" s="19">
        <f t="shared" si="26"/>
        <v>0</v>
      </c>
    </row>
    <row r="291" spans="1:8" x14ac:dyDescent="0.25">
      <c r="A291" s="349"/>
      <c r="B291" s="366"/>
      <c r="C291" s="18"/>
      <c r="D291" s="126"/>
      <c r="E291" s="14"/>
      <c r="F291" s="14"/>
      <c r="G291" s="20"/>
      <c r="H291" s="19">
        <f t="shared" si="26"/>
        <v>0</v>
      </c>
    </row>
    <row r="292" spans="1:8" x14ac:dyDescent="0.25">
      <c r="A292" s="349"/>
      <c r="B292" s="366"/>
      <c r="C292" s="18"/>
      <c r="D292" s="126"/>
      <c r="E292" s="14"/>
      <c r="F292" s="14"/>
      <c r="G292" s="20"/>
      <c r="H292" s="19">
        <f t="shared" si="26"/>
        <v>0</v>
      </c>
    </row>
    <row r="293" spans="1:8" x14ac:dyDescent="0.25">
      <c r="A293" s="349"/>
      <c r="B293" s="366"/>
      <c r="C293" s="18"/>
      <c r="D293" s="126"/>
      <c r="E293" s="14"/>
      <c r="F293" s="14"/>
      <c r="G293" s="20"/>
      <c r="H293" s="19">
        <f t="shared" si="26"/>
        <v>0</v>
      </c>
    </row>
    <row r="294" spans="1:8" x14ac:dyDescent="0.25">
      <c r="A294" s="349"/>
      <c r="B294" s="366"/>
      <c r="C294" s="18"/>
      <c r="D294" s="126"/>
      <c r="E294" s="14"/>
      <c r="F294" s="14"/>
      <c r="G294" s="20"/>
      <c r="H294" s="19">
        <f t="shared" si="26"/>
        <v>0</v>
      </c>
    </row>
    <row r="295" spans="1:8" x14ac:dyDescent="0.25">
      <c r="A295" s="349"/>
      <c r="B295" s="366"/>
      <c r="C295" s="18"/>
      <c r="D295" s="126"/>
      <c r="E295" s="14"/>
      <c r="F295" s="14"/>
      <c r="G295" s="20"/>
      <c r="H295" s="19">
        <f t="shared" si="26"/>
        <v>0</v>
      </c>
    </row>
    <row r="296" spans="1:8" ht="15.75" thickBot="1" x14ac:dyDescent="0.3">
      <c r="A296" s="349"/>
      <c r="B296" s="366"/>
      <c r="C296" s="18"/>
      <c r="D296" s="126"/>
      <c r="E296" s="14"/>
      <c r="F296" s="14"/>
      <c r="G296" s="20"/>
      <c r="H296" s="19">
        <f t="shared" si="26"/>
        <v>0</v>
      </c>
    </row>
    <row r="297" spans="1:8" ht="15.75" thickBot="1" x14ac:dyDescent="0.3">
      <c r="A297" s="349"/>
      <c r="B297" s="365" t="s">
        <v>213</v>
      </c>
      <c r="C297" s="13" t="s">
        <v>56</v>
      </c>
      <c r="D297" s="14"/>
      <c r="E297" s="15"/>
      <c r="F297" s="15"/>
      <c r="G297" s="16">
        <f>G298+G307</f>
        <v>0</v>
      </c>
      <c r="H297" s="141">
        <f>H298+H307+H317</f>
        <v>0</v>
      </c>
    </row>
    <row r="298" spans="1:8" x14ac:dyDescent="0.25">
      <c r="A298" s="349"/>
      <c r="B298" s="366"/>
      <c r="C298" s="14" t="s">
        <v>218</v>
      </c>
      <c r="D298" s="14"/>
      <c r="E298" s="14"/>
      <c r="F298" s="14"/>
      <c r="G298" s="44">
        <f>COUNTIF(D300:D306,"nu")</f>
        <v>0</v>
      </c>
      <c r="H298" s="45">
        <f>SUMIF(D300:D306,"NU",H300:H306)</f>
        <v>0</v>
      </c>
    </row>
    <row r="299" spans="1:8" ht="30.75" thickBot="1" x14ac:dyDescent="0.3">
      <c r="A299" s="349"/>
      <c r="B299" s="366"/>
      <c r="C299" s="14" t="s">
        <v>219</v>
      </c>
      <c r="D299" s="38" t="s">
        <v>162</v>
      </c>
      <c r="E299" s="68" t="s">
        <v>73</v>
      </c>
      <c r="F299" s="17"/>
      <c r="G299" s="46">
        <f>COUNTIF(D300:D306,"da")</f>
        <v>0</v>
      </c>
      <c r="H299" s="47">
        <f>SUMIF(D300:D306,"DA",H300:H306)</f>
        <v>0</v>
      </c>
    </row>
    <row r="300" spans="1:8" x14ac:dyDescent="0.25">
      <c r="A300" s="349"/>
      <c r="B300" s="366"/>
      <c r="C300" s="18"/>
      <c r="D300" s="126"/>
      <c r="E300" s="18"/>
      <c r="F300" s="18"/>
      <c r="G300" s="18"/>
      <c r="H300" s="19">
        <f t="shared" ref="H300:H306" si="27">IF(C300=0,0,100+200*E300)</f>
        <v>0</v>
      </c>
    </row>
    <row r="301" spans="1:8" x14ac:dyDescent="0.25">
      <c r="A301" s="349"/>
      <c r="B301" s="366"/>
      <c r="C301" s="18"/>
      <c r="D301" s="126"/>
      <c r="E301" s="18"/>
      <c r="F301" s="18"/>
      <c r="G301" s="18"/>
      <c r="H301" s="19">
        <f t="shared" si="27"/>
        <v>0</v>
      </c>
    </row>
    <row r="302" spans="1:8" x14ac:dyDescent="0.25">
      <c r="A302" s="349"/>
      <c r="B302" s="366"/>
      <c r="C302" s="18"/>
      <c r="D302" s="126"/>
      <c r="E302" s="18"/>
      <c r="F302" s="18"/>
      <c r="G302" s="18"/>
      <c r="H302" s="19">
        <f t="shared" si="27"/>
        <v>0</v>
      </c>
    </row>
    <row r="303" spans="1:8" x14ac:dyDescent="0.25">
      <c r="A303" s="349"/>
      <c r="B303" s="366"/>
      <c r="C303" s="18"/>
      <c r="D303" s="126"/>
      <c r="E303" s="18"/>
      <c r="F303" s="18"/>
      <c r="G303" s="18"/>
      <c r="H303" s="19">
        <f t="shared" si="27"/>
        <v>0</v>
      </c>
    </row>
    <row r="304" spans="1:8" x14ac:dyDescent="0.25">
      <c r="A304" s="349"/>
      <c r="B304" s="366"/>
      <c r="C304" s="18"/>
      <c r="D304" s="126"/>
      <c r="E304" s="18"/>
      <c r="F304" s="18"/>
      <c r="G304" s="18"/>
      <c r="H304" s="19">
        <f t="shared" si="27"/>
        <v>0</v>
      </c>
    </row>
    <row r="305" spans="1:8" x14ac:dyDescent="0.25">
      <c r="A305" s="349"/>
      <c r="B305" s="366"/>
      <c r="C305" s="18"/>
      <c r="D305" s="126"/>
      <c r="E305" s="18"/>
      <c r="F305" s="18"/>
      <c r="G305" s="18"/>
      <c r="H305" s="19">
        <f t="shared" si="27"/>
        <v>0</v>
      </c>
    </row>
    <row r="306" spans="1:8" ht="15.75" thickBot="1" x14ac:dyDescent="0.3">
      <c r="A306" s="349"/>
      <c r="B306" s="366"/>
      <c r="C306" s="18"/>
      <c r="D306" s="126"/>
      <c r="E306" s="18"/>
      <c r="F306" s="18"/>
      <c r="G306" s="18"/>
      <c r="H306" s="19">
        <f t="shared" si="27"/>
        <v>0</v>
      </c>
    </row>
    <row r="307" spans="1:8" x14ac:dyDescent="0.25">
      <c r="A307" s="349"/>
      <c r="B307" s="366"/>
      <c r="C307" s="14" t="s">
        <v>353</v>
      </c>
      <c r="D307" s="14"/>
      <c r="E307" s="68"/>
      <c r="F307" s="14"/>
      <c r="G307" s="44">
        <f>COUNTIF(D309:D316,"nu")</f>
        <v>0</v>
      </c>
      <c r="H307" s="45">
        <f>SUMIF(D309:D316,"NU",H309:H316)</f>
        <v>0</v>
      </c>
    </row>
    <row r="308" spans="1:8" ht="30.75" thickBot="1" x14ac:dyDescent="0.3">
      <c r="A308" s="349"/>
      <c r="B308" s="366"/>
      <c r="C308" s="14" t="s">
        <v>264</v>
      </c>
      <c r="D308" s="38" t="s">
        <v>162</v>
      </c>
      <c r="E308" s="68" t="s">
        <v>73</v>
      </c>
      <c r="F308" s="14" t="s">
        <v>10</v>
      </c>
      <c r="G308" s="46">
        <f>COUNTIF(D309:D316,"da")</f>
        <v>0</v>
      </c>
      <c r="H308" s="47">
        <f>SUMIF(D309:D316,"DA",H309:H316)</f>
        <v>0</v>
      </c>
    </row>
    <row r="309" spans="1:8" x14ac:dyDescent="0.25">
      <c r="A309" s="349"/>
      <c r="B309" s="366"/>
      <c r="C309" s="18"/>
      <c r="D309" s="126"/>
      <c r="E309" s="18"/>
      <c r="F309" s="18"/>
      <c r="G309" s="18"/>
      <c r="H309" s="19">
        <f>IF(F309=0,0,(100+200*E309)/F309)</f>
        <v>0</v>
      </c>
    </row>
    <row r="310" spans="1:8" x14ac:dyDescent="0.25">
      <c r="A310" s="349"/>
      <c r="B310" s="366"/>
      <c r="C310" s="18"/>
      <c r="D310" s="126"/>
      <c r="E310" s="18"/>
      <c r="F310" s="18"/>
      <c r="G310" s="18"/>
      <c r="H310" s="19">
        <f t="shared" ref="H310:H316" si="28">IF(F310=0,0,(100+200*E310)/F310)</f>
        <v>0</v>
      </c>
    </row>
    <row r="311" spans="1:8" x14ac:dyDescent="0.25">
      <c r="A311" s="349"/>
      <c r="B311" s="366"/>
      <c r="C311" s="18"/>
      <c r="D311" s="126"/>
      <c r="E311" s="18"/>
      <c r="F311" s="18"/>
      <c r="G311" s="18"/>
      <c r="H311" s="19">
        <f t="shared" si="28"/>
        <v>0</v>
      </c>
    </row>
    <row r="312" spans="1:8" x14ac:dyDescent="0.25">
      <c r="A312" s="349"/>
      <c r="B312" s="366"/>
      <c r="C312" s="18"/>
      <c r="D312" s="126"/>
      <c r="E312" s="18"/>
      <c r="F312" s="18"/>
      <c r="G312" s="18"/>
      <c r="H312" s="19">
        <f t="shared" si="28"/>
        <v>0</v>
      </c>
    </row>
    <row r="313" spans="1:8" x14ac:dyDescent="0.25">
      <c r="A313" s="349"/>
      <c r="B313" s="366"/>
      <c r="C313" s="18"/>
      <c r="D313" s="126"/>
      <c r="E313" s="18"/>
      <c r="F313" s="18"/>
      <c r="G313" s="18"/>
      <c r="H313" s="19">
        <f t="shared" si="28"/>
        <v>0</v>
      </c>
    </row>
    <row r="314" spans="1:8" x14ac:dyDescent="0.25">
      <c r="A314" s="349"/>
      <c r="B314" s="366"/>
      <c r="C314" s="18"/>
      <c r="D314" s="126"/>
      <c r="E314" s="18"/>
      <c r="F314" s="18"/>
      <c r="G314" s="18"/>
      <c r="H314" s="19">
        <f t="shared" si="28"/>
        <v>0</v>
      </c>
    </row>
    <row r="315" spans="1:8" x14ac:dyDescent="0.25">
      <c r="A315" s="349"/>
      <c r="B315" s="366"/>
      <c r="C315" s="18"/>
      <c r="D315" s="126"/>
      <c r="E315" s="18"/>
      <c r="F315" s="18"/>
      <c r="G315" s="18"/>
      <c r="H315" s="19">
        <f t="shared" si="28"/>
        <v>0</v>
      </c>
    </row>
    <row r="316" spans="1:8" ht="15.75" thickBot="1" x14ac:dyDescent="0.3">
      <c r="A316" s="349"/>
      <c r="B316" s="366"/>
      <c r="C316" s="18"/>
      <c r="D316" s="126"/>
      <c r="E316" s="18"/>
      <c r="F316" s="18"/>
      <c r="G316" s="18"/>
      <c r="H316" s="19">
        <f t="shared" si="28"/>
        <v>0</v>
      </c>
    </row>
    <row r="317" spans="1:8" x14ac:dyDescent="0.25">
      <c r="A317" s="349"/>
      <c r="B317" s="366"/>
      <c r="C317" s="14" t="s">
        <v>368</v>
      </c>
      <c r="D317" s="14"/>
      <c r="E317" s="14"/>
      <c r="F317" s="14"/>
      <c r="G317" s="44">
        <f>COUNTIF(D319:D326,"nu")</f>
        <v>0</v>
      </c>
      <c r="H317" s="45">
        <f>SUMIF(D319:D326,"NU",H319:H326)</f>
        <v>0</v>
      </c>
    </row>
    <row r="318" spans="1:8" ht="15.75" thickBot="1" x14ac:dyDescent="0.3">
      <c r="A318" s="349"/>
      <c r="B318" s="366"/>
      <c r="C318" s="14" t="s">
        <v>369</v>
      </c>
      <c r="D318" s="38" t="s">
        <v>162</v>
      </c>
      <c r="E318" s="14"/>
      <c r="F318" s="14"/>
      <c r="G318" s="46">
        <f>COUNTIF(D319:D326,"da")</f>
        <v>0</v>
      </c>
      <c r="H318" s="47">
        <f>SUMIF(D319:D326,"DA",H319:H326)</f>
        <v>0</v>
      </c>
    </row>
    <row r="319" spans="1:8" x14ac:dyDescent="0.25">
      <c r="A319" s="349"/>
      <c r="B319" s="366"/>
      <c r="C319" s="18"/>
      <c r="D319" s="126"/>
      <c r="E319" s="14"/>
      <c r="F319" s="14"/>
      <c r="G319" s="14"/>
      <c r="H319" s="19">
        <f t="shared" ref="H319:H326" si="29">IF(C319=0,0,120)</f>
        <v>0</v>
      </c>
    </row>
    <row r="320" spans="1:8" x14ac:dyDescent="0.25">
      <c r="A320" s="349"/>
      <c r="B320" s="366"/>
      <c r="C320" s="18"/>
      <c r="D320" s="126"/>
      <c r="E320" s="14"/>
      <c r="F320" s="14"/>
      <c r="G320" s="20"/>
      <c r="H320" s="19">
        <f t="shared" si="29"/>
        <v>0</v>
      </c>
    </row>
    <row r="321" spans="1:8" x14ac:dyDescent="0.25">
      <c r="A321" s="349"/>
      <c r="B321" s="366"/>
      <c r="C321" s="18"/>
      <c r="D321" s="126"/>
      <c r="E321" s="14"/>
      <c r="F321" s="14"/>
      <c r="G321" s="20"/>
      <c r="H321" s="19">
        <f t="shared" si="29"/>
        <v>0</v>
      </c>
    </row>
    <row r="322" spans="1:8" x14ac:dyDescent="0.25">
      <c r="A322" s="349"/>
      <c r="B322" s="366"/>
      <c r="C322" s="18"/>
      <c r="D322" s="126"/>
      <c r="E322" s="14"/>
      <c r="F322" s="14"/>
      <c r="G322" s="20"/>
      <c r="H322" s="19">
        <f t="shared" si="29"/>
        <v>0</v>
      </c>
    </row>
    <row r="323" spans="1:8" x14ac:dyDescent="0.25">
      <c r="A323" s="349"/>
      <c r="B323" s="366"/>
      <c r="C323" s="18"/>
      <c r="D323" s="126"/>
      <c r="E323" s="14"/>
      <c r="F323" s="14"/>
      <c r="G323" s="20"/>
      <c r="H323" s="19">
        <f t="shared" si="29"/>
        <v>0</v>
      </c>
    </row>
    <row r="324" spans="1:8" x14ac:dyDescent="0.25">
      <c r="A324" s="349"/>
      <c r="B324" s="366"/>
      <c r="C324" s="18"/>
      <c r="D324" s="126"/>
      <c r="E324" s="14"/>
      <c r="F324" s="14"/>
      <c r="G324" s="20"/>
      <c r="H324" s="19">
        <f t="shared" si="29"/>
        <v>0</v>
      </c>
    </row>
    <row r="325" spans="1:8" x14ac:dyDescent="0.25">
      <c r="A325" s="349"/>
      <c r="B325" s="366"/>
      <c r="C325" s="18"/>
      <c r="D325" s="126"/>
      <c r="E325" s="14"/>
      <c r="F325" s="14"/>
      <c r="G325" s="20"/>
      <c r="H325" s="19">
        <f t="shared" si="29"/>
        <v>0</v>
      </c>
    </row>
    <row r="326" spans="1:8" ht="15.75" thickBot="1" x14ac:dyDescent="0.3">
      <c r="A326" s="349"/>
      <c r="B326" s="367"/>
      <c r="C326" s="18"/>
      <c r="D326" s="126"/>
      <c r="E326" s="14"/>
      <c r="F326" s="14"/>
      <c r="G326" s="20"/>
      <c r="H326" s="19">
        <f t="shared" si="29"/>
        <v>0</v>
      </c>
    </row>
    <row r="327" spans="1:8" ht="15.75" thickBot="1" x14ac:dyDescent="0.3">
      <c r="A327" s="349"/>
      <c r="B327" s="371" t="s">
        <v>212</v>
      </c>
      <c r="C327" s="25" t="s">
        <v>215</v>
      </c>
      <c r="D327" s="22"/>
      <c r="E327" s="43"/>
      <c r="F327" s="43"/>
      <c r="G327" s="23">
        <f>G328+G338</f>
        <v>0</v>
      </c>
      <c r="H327" s="60">
        <f>H328+H338+H348</f>
        <v>0</v>
      </c>
    </row>
    <row r="328" spans="1:8" x14ac:dyDescent="0.25">
      <c r="A328" s="349"/>
      <c r="B328" s="369"/>
      <c r="C328" s="22" t="s">
        <v>51</v>
      </c>
      <c r="D328" s="38"/>
      <c r="E328" s="21"/>
      <c r="F328" s="21"/>
      <c r="G328" s="44">
        <f>COUNTIF(D330:D337,"nu")</f>
        <v>0</v>
      </c>
      <c r="H328" s="45">
        <f>SUMIF(D330:D337,"NU",H330:H337)</f>
        <v>0</v>
      </c>
    </row>
    <row r="329" spans="1:8" ht="15.75" thickBot="1" x14ac:dyDescent="0.3">
      <c r="A329" s="349"/>
      <c r="B329" s="369"/>
      <c r="C329" s="22" t="s">
        <v>206</v>
      </c>
      <c r="D329" s="38" t="s">
        <v>162</v>
      </c>
      <c r="E329" s="21"/>
      <c r="F329" s="21"/>
      <c r="G329" s="46">
        <f>COUNTIF(D330:D337,"da")</f>
        <v>0</v>
      </c>
      <c r="H329" s="47">
        <f>SUMIF(D330:D337,"DA",H330:H337)</f>
        <v>0</v>
      </c>
    </row>
    <row r="330" spans="1:8" x14ac:dyDescent="0.25">
      <c r="A330" s="349"/>
      <c r="B330" s="369"/>
      <c r="C330" s="29"/>
      <c r="D330" s="40"/>
      <c r="E330" s="22"/>
      <c r="F330" s="22"/>
      <c r="G330" s="22"/>
      <c r="H330" s="41">
        <f t="shared" ref="H330:H337" si="30">IF(C330=0,0,60)</f>
        <v>0</v>
      </c>
    </row>
    <row r="331" spans="1:8" x14ac:dyDescent="0.25">
      <c r="A331" s="349"/>
      <c r="B331" s="369"/>
      <c r="C331" s="29"/>
      <c r="D331" s="40"/>
      <c r="E331" s="22"/>
      <c r="F331" s="22"/>
      <c r="G331" s="22"/>
      <c r="H331" s="41">
        <f t="shared" si="30"/>
        <v>0</v>
      </c>
    </row>
    <row r="332" spans="1:8" x14ac:dyDescent="0.25">
      <c r="A332" s="349"/>
      <c r="B332" s="369"/>
      <c r="C332" s="29"/>
      <c r="D332" s="40"/>
      <c r="E332" s="22"/>
      <c r="F332" s="22"/>
      <c r="G332" s="22"/>
      <c r="H332" s="41">
        <f t="shared" si="30"/>
        <v>0</v>
      </c>
    </row>
    <row r="333" spans="1:8" x14ac:dyDescent="0.25">
      <c r="A333" s="349"/>
      <c r="B333" s="369"/>
      <c r="C333" s="29"/>
      <c r="D333" s="40"/>
      <c r="E333" s="22"/>
      <c r="F333" s="22"/>
      <c r="G333" s="22"/>
      <c r="H333" s="41">
        <f t="shared" si="30"/>
        <v>0</v>
      </c>
    </row>
    <row r="334" spans="1:8" x14ac:dyDescent="0.25">
      <c r="A334" s="349"/>
      <c r="B334" s="369"/>
      <c r="C334" s="29"/>
      <c r="D334" s="40"/>
      <c r="E334" s="22"/>
      <c r="F334" s="22"/>
      <c r="G334" s="22"/>
      <c r="H334" s="41">
        <f t="shared" si="30"/>
        <v>0</v>
      </c>
    </row>
    <row r="335" spans="1:8" x14ac:dyDescent="0.25">
      <c r="A335" s="349"/>
      <c r="B335" s="369"/>
      <c r="C335" s="29"/>
      <c r="D335" s="40"/>
      <c r="E335" s="22"/>
      <c r="F335" s="22"/>
      <c r="G335" s="22"/>
      <c r="H335" s="41">
        <f t="shared" si="30"/>
        <v>0</v>
      </c>
    </row>
    <row r="336" spans="1:8" x14ac:dyDescent="0.25">
      <c r="A336" s="349"/>
      <c r="B336" s="369"/>
      <c r="C336" s="29"/>
      <c r="D336" s="40"/>
      <c r="E336" s="22"/>
      <c r="F336" s="22"/>
      <c r="G336" s="22"/>
      <c r="H336" s="41">
        <f t="shared" si="30"/>
        <v>0</v>
      </c>
    </row>
    <row r="337" spans="1:8" ht="15.75" thickBot="1" x14ac:dyDescent="0.3">
      <c r="A337" s="349"/>
      <c r="B337" s="369"/>
      <c r="C337" s="29"/>
      <c r="D337" s="40"/>
      <c r="E337" s="22"/>
      <c r="F337" s="22"/>
      <c r="G337" s="22"/>
      <c r="H337" s="41">
        <f t="shared" si="30"/>
        <v>0</v>
      </c>
    </row>
    <row r="338" spans="1:8" x14ac:dyDescent="0.25">
      <c r="A338" s="349"/>
      <c r="B338" s="369"/>
      <c r="C338" s="22" t="s">
        <v>52</v>
      </c>
      <c r="D338" s="22"/>
      <c r="E338" s="22"/>
      <c r="F338" s="22"/>
      <c r="G338" s="44">
        <f>COUNTIF(D340:D347,"nu")</f>
        <v>0</v>
      </c>
      <c r="H338" s="45">
        <f>SUMIF(D340:D347,"NU",H340:H347)</f>
        <v>0</v>
      </c>
    </row>
    <row r="339" spans="1:8" ht="15.75" thickBot="1" x14ac:dyDescent="0.3">
      <c r="A339" s="349"/>
      <c r="B339" s="369"/>
      <c r="C339" s="22" t="s">
        <v>207</v>
      </c>
      <c r="D339" s="38" t="s">
        <v>162</v>
      </c>
      <c r="E339" s="22"/>
      <c r="F339" s="22" t="s">
        <v>10</v>
      </c>
      <c r="G339" s="46">
        <f>COUNTIF(D340:D347,"da")</f>
        <v>0</v>
      </c>
      <c r="H339" s="47">
        <f>SUMIF(D340:D347,"DA",H340:H347)</f>
        <v>0</v>
      </c>
    </row>
    <row r="340" spans="1:8" x14ac:dyDescent="0.25">
      <c r="A340" s="349"/>
      <c r="B340" s="369"/>
      <c r="C340" s="29"/>
      <c r="D340" s="40"/>
      <c r="E340" s="29"/>
      <c r="F340" s="29"/>
      <c r="G340" s="22"/>
      <c r="H340" s="41">
        <f t="shared" ref="H340:H347" si="31">IF(F340=0,0,60/F340)</f>
        <v>0</v>
      </c>
    </row>
    <row r="341" spans="1:8" x14ac:dyDescent="0.25">
      <c r="A341" s="349"/>
      <c r="B341" s="369"/>
      <c r="C341" s="29"/>
      <c r="D341" s="40"/>
      <c r="E341" s="29"/>
      <c r="F341" s="29"/>
      <c r="G341" s="22"/>
      <c r="H341" s="41">
        <f t="shared" si="31"/>
        <v>0</v>
      </c>
    </row>
    <row r="342" spans="1:8" x14ac:dyDescent="0.25">
      <c r="A342" s="349"/>
      <c r="B342" s="369"/>
      <c r="C342" s="29"/>
      <c r="D342" s="40"/>
      <c r="E342" s="29"/>
      <c r="F342" s="29"/>
      <c r="G342" s="22"/>
      <c r="H342" s="41">
        <f t="shared" si="31"/>
        <v>0</v>
      </c>
    </row>
    <row r="343" spans="1:8" x14ac:dyDescent="0.25">
      <c r="A343" s="349"/>
      <c r="B343" s="369"/>
      <c r="C343" s="29"/>
      <c r="D343" s="40"/>
      <c r="E343" s="29"/>
      <c r="F343" s="29"/>
      <c r="G343" s="22"/>
      <c r="H343" s="41">
        <f>IF(F343=0,0,60/F343)</f>
        <v>0</v>
      </c>
    </row>
    <row r="344" spans="1:8" x14ac:dyDescent="0.25">
      <c r="A344" s="349"/>
      <c r="B344" s="369"/>
      <c r="C344" s="29"/>
      <c r="D344" s="40"/>
      <c r="E344" s="29"/>
      <c r="F344" s="29"/>
      <c r="G344" s="22"/>
      <c r="H344" s="41">
        <f t="shared" si="31"/>
        <v>0</v>
      </c>
    </row>
    <row r="345" spans="1:8" x14ac:dyDescent="0.25">
      <c r="A345" s="349"/>
      <c r="B345" s="369"/>
      <c r="C345" s="29"/>
      <c r="D345" s="40"/>
      <c r="E345" s="29"/>
      <c r="F345" s="29"/>
      <c r="G345" s="22"/>
      <c r="H345" s="41">
        <f t="shared" si="31"/>
        <v>0</v>
      </c>
    </row>
    <row r="346" spans="1:8" x14ac:dyDescent="0.25">
      <c r="A346" s="349"/>
      <c r="B346" s="369"/>
      <c r="C346" s="29"/>
      <c r="D346" s="40"/>
      <c r="E346" s="29"/>
      <c r="F346" s="29"/>
      <c r="G346" s="22"/>
      <c r="H346" s="41">
        <f t="shared" si="31"/>
        <v>0</v>
      </c>
    </row>
    <row r="347" spans="1:8" ht="15.75" thickBot="1" x14ac:dyDescent="0.3">
      <c r="A347" s="349"/>
      <c r="B347" s="369"/>
      <c r="C347" s="29"/>
      <c r="D347" s="40"/>
      <c r="E347" s="29"/>
      <c r="F347" s="29"/>
      <c r="G347" s="22"/>
      <c r="H347" s="41">
        <f t="shared" si="31"/>
        <v>0</v>
      </c>
    </row>
    <row r="348" spans="1:8" x14ac:dyDescent="0.25">
      <c r="A348" s="349"/>
      <c r="B348" s="369"/>
      <c r="C348" s="22" t="s">
        <v>360</v>
      </c>
      <c r="D348" s="22"/>
      <c r="E348" s="22"/>
      <c r="F348" s="22"/>
      <c r="G348" s="44">
        <f>COUNTIF(D350:D357,"nu")</f>
        <v>0</v>
      </c>
      <c r="H348" s="45">
        <f>SUMIF(D350:D357,"NU",H350:H357)</f>
        <v>0</v>
      </c>
    </row>
    <row r="349" spans="1:8" ht="15.75" thickBot="1" x14ac:dyDescent="0.3">
      <c r="A349" s="349"/>
      <c r="B349" s="369"/>
      <c r="C349" s="22" t="s">
        <v>361</v>
      </c>
      <c r="D349" s="38" t="s">
        <v>162</v>
      </c>
      <c r="E349" s="22"/>
      <c r="F349" s="22"/>
      <c r="G349" s="46">
        <f>COUNTIF(D350:D357,"da")</f>
        <v>0</v>
      </c>
      <c r="H349" s="47">
        <f>SUMIF(D350:D357,"DA",H350:H357)</f>
        <v>0</v>
      </c>
    </row>
    <row r="350" spans="1:8" x14ac:dyDescent="0.25">
      <c r="A350" s="349"/>
      <c r="B350" s="369"/>
      <c r="C350" s="29"/>
      <c r="D350" s="40"/>
      <c r="E350" s="22"/>
      <c r="F350" s="22"/>
      <c r="G350" s="22"/>
      <c r="H350" s="41">
        <f t="shared" ref="H350:H357" si="32">IF(C350=0,0,20)</f>
        <v>0</v>
      </c>
    </row>
    <row r="351" spans="1:8" x14ac:dyDescent="0.25">
      <c r="A351" s="349"/>
      <c r="B351" s="369"/>
      <c r="C351" s="29"/>
      <c r="D351" s="174"/>
      <c r="E351" s="42"/>
      <c r="F351" s="42"/>
      <c r="G351" s="42"/>
      <c r="H351" s="41">
        <f t="shared" si="32"/>
        <v>0</v>
      </c>
    </row>
    <row r="352" spans="1:8" x14ac:dyDescent="0.25">
      <c r="A352" s="349"/>
      <c r="B352" s="369"/>
      <c r="C352" s="29"/>
      <c r="D352" s="174"/>
      <c r="E352" s="42"/>
      <c r="F352" s="42"/>
      <c r="G352" s="42"/>
      <c r="H352" s="41">
        <f t="shared" si="32"/>
        <v>0</v>
      </c>
    </row>
    <row r="353" spans="1:8" x14ac:dyDescent="0.25">
      <c r="A353" s="349"/>
      <c r="B353" s="369"/>
      <c r="C353" s="29"/>
      <c r="D353" s="174"/>
      <c r="E353" s="42"/>
      <c r="F353" s="42"/>
      <c r="G353" s="42"/>
      <c r="H353" s="41">
        <f t="shared" si="32"/>
        <v>0</v>
      </c>
    </row>
    <row r="354" spans="1:8" x14ac:dyDescent="0.25">
      <c r="A354" s="349"/>
      <c r="B354" s="369"/>
      <c r="C354" s="29"/>
      <c r="D354" s="174"/>
      <c r="E354" s="42"/>
      <c r="F354" s="42"/>
      <c r="G354" s="42"/>
      <c r="H354" s="41">
        <f t="shared" si="32"/>
        <v>0</v>
      </c>
    </row>
    <row r="355" spans="1:8" x14ac:dyDescent="0.25">
      <c r="A355" s="349"/>
      <c r="B355" s="369"/>
      <c r="C355" s="29"/>
      <c r="D355" s="174"/>
      <c r="E355" s="42"/>
      <c r="F355" s="42"/>
      <c r="G355" s="42"/>
      <c r="H355" s="41">
        <f t="shared" si="32"/>
        <v>0</v>
      </c>
    </row>
    <row r="356" spans="1:8" x14ac:dyDescent="0.25">
      <c r="A356" s="349"/>
      <c r="B356" s="369"/>
      <c r="C356" s="29"/>
      <c r="D356" s="174"/>
      <c r="E356" s="42"/>
      <c r="F356" s="42"/>
      <c r="G356" s="42"/>
      <c r="H356" s="41">
        <f t="shared" si="32"/>
        <v>0</v>
      </c>
    </row>
    <row r="357" spans="1:8" ht="15.75" thickBot="1" x14ac:dyDescent="0.3">
      <c r="A357" s="358"/>
      <c r="B357" s="372"/>
      <c r="C357" s="29"/>
      <c r="D357" s="174"/>
      <c r="E357" s="42"/>
      <c r="F357" s="42"/>
      <c r="G357" s="42"/>
      <c r="H357" s="41">
        <f t="shared" si="32"/>
        <v>0</v>
      </c>
    </row>
    <row r="358" spans="1:8" ht="15.75" thickBot="1" x14ac:dyDescent="0.3">
      <c r="A358" s="351" t="s">
        <v>57</v>
      </c>
      <c r="B358" s="23" t="s">
        <v>58</v>
      </c>
      <c r="C358" s="24"/>
      <c r="D358" s="24"/>
      <c r="E358" s="24"/>
      <c r="F358" s="24"/>
      <c r="G358" s="24">
        <f>G359+G370</f>
        <v>0</v>
      </c>
      <c r="H358" s="60">
        <f>H359+H370+H382</f>
        <v>0</v>
      </c>
    </row>
    <row r="359" spans="1:8" x14ac:dyDescent="0.25">
      <c r="A359" s="349"/>
      <c r="B359" s="373"/>
      <c r="C359" s="22" t="s">
        <v>208</v>
      </c>
      <c r="D359" s="38"/>
      <c r="E359" s="21"/>
      <c r="F359" s="21"/>
      <c r="G359" s="44">
        <f>COUNTIF(D361:D369,"nu")</f>
        <v>0</v>
      </c>
      <c r="H359" s="45">
        <f>SUMIF(D361:D369,"NU",H361:H369)</f>
        <v>0</v>
      </c>
    </row>
    <row r="360" spans="1:8" ht="15.75" thickBot="1" x14ac:dyDescent="0.3">
      <c r="A360" s="349"/>
      <c r="B360" s="373"/>
      <c r="C360" s="22" t="s">
        <v>209</v>
      </c>
      <c r="D360" s="38" t="s">
        <v>162</v>
      </c>
      <c r="E360" s="21"/>
      <c r="F360" s="21"/>
      <c r="G360" s="46">
        <f>COUNTIF(D361:D369,"da")</f>
        <v>0</v>
      </c>
      <c r="H360" s="47">
        <f>SUMIF(D361:D369,"DA",H361:H369)</f>
        <v>0</v>
      </c>
    </row>
    <row r="361" spans="1:8" x14ac:dyDescent="0.25">
      <c r="A361" s="349"/>
      <c r="B361" s="374"/>
      <c r="C361" s="29"/>
      <c r="D361" s="40"/>
      <c r="E361" s="22"/>
      <c r="F361" s="22"/>
      <c r="G361" s="22"/>
      <c r="H361" s="41">
        <f>IF(C361=0,0,50)</f>
        <v>0</v>
      </c>
    </row>
    <row r="362" spans="1:8" x14ac:dyDescent="0.25">
      <c r="A362" s="349"/>
      <c r="B362" s="374"/>
      <c r="C362" s="29"/>
      <c r="D362" s="40"/>
      <c r="E362" s="22"/>
      <c r="F362" s="22"/>
      <c r="G362" s="22"/>
      <c r="H362" s="41">
        <f t="shared" ref="H362:H367" si="33">IF(C362=0,0,50)</f>
        <v>0</v>
      </c>
    </row>
    <row r="363" spans="1:8" x14ac:dyDescent="0.25">
      <c r="A363" s="349"/>
      <c r="B363" s="374"/>
      <c r="C363" s="29"/>
      <c r="D363" s="40"/>
      <c r="E363" s="22"/>
      <c r="F363" s="22"/>
      <c r="G363" s="22"/>
      <c r="H363" s="41">
        <f t="shared" si="33"/>
        <v>0</v>
      </c>
    </row>
    <row r="364" spans="1:8" x14ac:dyDescent="0.25">
      <c r="A364" s="349"/>
      <c r="B364" s="374"/>
      <c r="C364" s="29"/>
      <c r="D364" s="40"/>
      <c r="E364" s="22"/>
      <c r="F364" s="22"/>
      <c r="G364" s="22"/>
      <c r="H364" s="41">
        <f t="shared" si="33"/>
        <v>0</v>
      </c>
    </row>
    <row r="365" spans="1:8" x14ac:dyDescent="0.25">
      <c r="A365" s="349"/>
      <c r="B365" s="374"/>
      <c r="C365" s="29"/>
      <c r="D365" s="40"/>
      <c r="E365" s="22"/>
      <c r="F365" s="22"/>
      <c r="G365" s="22"/>
      <c r="H365" s="41">
        <f t="shared" si="33"/>
        <v>0</v>
      </c>
    </row>
    <row r="366" spans="1:8" x14ac:dyDescent="0.25">
      <c r="A366" s="349"/>
      <c r="B366" s="374"/>
      <c r="C366" s="29"/>
      <c r="D366" s="40"/>
      <c r="E366" s="22"/>
      <c r="F366" s="22"/>
      <c r="G366" s="22"/>
      <c r="H366" s="41">
        <f t="shared" si="33"/>
        <v>0</v>
      </c>
    </row>
    <row r="367" spans="1:8" x14ac:dyDescent="0.25">
      <c r="A367" s="349"/>
      <c r="B367" s="374"/>
      <c r="C367" s="29"/>
      <c r="D367" s="40"/>
      <c r="E367" s="22"/>
      <c r="F367" s="22"/>
      <c r="G367" s="22"/>
      <c r="H367" s="41">
        <f t="shared" si="33"/>
        <v>0</v>
      </c>
    </row>
    <row r="368" spans="1:8" x14ac:dyDescent="0.25">
      <c r="A368" s="349"/>
      <c r="B368" s="374"/>
      <c r="C368" s="29"/>
      <c r="D368" s="40"/>
      <c r="E368" s="22"/>
      <c r="F368" s="22"/>
      <c r="G368" s="22"/>
      <c r="H368" s="41">
        <f>IF(C368=0,0,50)</f>
        <v>0</v>
      </c>
    </row>
    <row r="369" spans="1:8" ht="15.75" thickBot="1" x14ac:dyDescent="0.3">
      <c r="A369" s="349"/>
      <c r="B369" s="374"/>
      <c r="C369" s="29"/>
      <c r="D369" s="40"/>
      <c r="E369" s="22"/>
      <c r="F369" s="22"/>
      <c r="G369" s="22"/>
      <c r="H369" s="41">
        <f>IF(C369=0,0,50)</f>
        <v>0</v>
      </c>
    </row>
    <row r="370" spans="1:8" x14ac:dyDescent="0.25">
      <c r="A370" s="349"/>
      <c r="B370" s="374"/>
      <c r="C370" s="22" t="s">
        <v>210</v>
      </c>
      <c r="D370" s="22"/>
      <c r="E370" s="22"/>
      <c r="F370" s="22"/>
      <c r="G370" s="44">
        <f>COUNTIF(D372:D381,"nu")</f>
        <v>0</v>
      </c>
      <c r="H370" s="45">
        <f>SUMIF(D372:D381,"NU",H372:H381)</f>
        <v>0</v>
      </c>
    </row>
    <row r="371" spans="1:8" ht="15.75" thickBot="1" x14ac:dyDescent="0.3">
      <c r="A371" s="349"/>
      <c r="B371" s="374"/>
      <c r="C371" s="22" t="s">
        <v>211</v>
      </c>
      <c r="D371" s="38" t="s">
        <v>162</v>
      </c>
      <c r="E371" s="22"/>
      <c r="F371" s="22" t="s">
        <v>10</v>
      </c>
      <c r="G371" s="46">
        <f>COUNTIF(D372:D381,"da")</f>
        <v>0</v>
      </c>
      <c r="H371" s="47">
        <f>SUMIF(D372:D381,"DA",H372:H381)</f>
        <v>0</v>
      </c>
    </row>
    <row r="372" spans="1:8" x14ac:dyDescent="0.25">
      <c r="A372" s="349"/>
      <c r="B372" s="374"/>
      <c r="C372" s="29"/>
      <c r="D372" s="40"/>
      <c r="E372" s="29"/>
      <c r="F372" s="29"/>
      <c r="G372" s="22"/>
      <c r="H372" s="41">
        <f>IF(F372=0,0,50/F372)</f>
        <v>0</v>
      </c>
    </row>
    <row r="373" spans="1:8" x14ac:dyDescent="0.25">
      <c r="A373" s="349"/>
      <c r="B373" s="374"/>
      <c r="C373" s="29"/>
      <c r="D373" s="40"/>
      <c r="E373" s="29"/>
      <c r="F373" s="29"/>
      <c r="G373" s="22"/>
      <c r="H373" s="41">
        <f t="shared" ref="H373:H379" si="34">IF(F373=0,0,50/F373)</f>
        <v>0</v>
      </c>
    </row>
    <row r="374" spans="1:8" x14ac:dyDescent="0.25">
      <c r="A374" s="349"/>
      <c r="B374" s="374"/>
      <c r="C374" s="29"/>
      <c r="D374" s="40"/>
      <c r="E374" s="29"/>
      <c r="F374" s="29"/>
      <c r="G374" s="22"/>
      <c r="H374" s="41">
        <f t="shared" si="34"/>
        <v>0</v>
      </c>
    </row>
    <row r="375" spans="1:8" x14ac:dyDescent="0.25">
      <c r="A375" s="349"/>
      <c r="B375" s="374"/>
      <c r="C375" s="29"/>
      <c r="D375" s="40"/>
      <c r="E375" s="29"/>
      <c r="F375" s="29"/>
      <c r="G375" s="22"/>
      <c r="H375" s="41">
        <f t="shared" si="34"/>
        <v>0</v>
      </c>
    </row>
    <row r="376" spans="1:8" x14ac:dyDescent="0.25">
      <c r="A376" s="349"/>
      <c r="B376" s="374"/>
      <c r="C376" s="29"/>
      <c r="D376" s="40"/>
      <c r="E376" s="29"/>
      <c r="F376" s="29"/>
      <c r="G376" s="22"/>
      <c r="H376" s="41">
        <f>IF(F376=0,0,50/F376)</f>
        <v>0</v>
      </c>
    </row>
    <row r="377" spans="1:8" x14ac:dyDescent="0.25">
      <c r="A377" s="349"/>
      <c r="B377" s="374"/>
      <c r="C377" s="29"/>
      <c r="D377" s="40"/>
      <c r="E377" s="29"/>
      <c r="F377" s="29"/>
      <c r="G377" s="22"/>
      <c r="H377" s="41">
        <f t="shared" si="34"/>
        <v>0</v>
      </c>
    </row>
    <row r="378" spans="1:8" x14ac:dyDescent="0.25">
      <c r="A378" s="349"/>
      <c r="B378" s="374"/>
      <c r="C378" s="29"/>
      <c r="D378" s="40"/>
      <c r="E378" s="29"/>
      <c r="F378" s="29"/>
      <c r="G378" s="22"/>
      <c r="H378" s="41">
        <f t="shared" si="34"/>
        <v>0</v>
      </c>
    </row>
    <row r="379" spans="1:8" x14ac:dyDescent="0.25">
      <c r="A379" s="349"/>
      <c r="B379" s="374"/>
      <c r="C379" s="29"/>
      <c r="D379" s="40"/>
      <c r="E379" s="29"/>
      <c r="F379" s="29"/>
      <c r="G379" s="22"/>
      <c r="H379" s="41">
        <f t="shared" si="34"/>
        <v>0</v>
      </c>
    </row>
    <row r="380" spans="1:8" x14ac:dyDescent="0.25">
      <c r="A380" s="349"/>
      <c r="B380" s="374"/>
      <c r="C380" s="29"/>
      <c r="D380" s="40"/>
      <c r="E380" s="29"/>
      <c r="F380" s="29"/>
      <c r="G380" s="22"/>
      <c r="H380" s="41">
        <f>IF(F380=0,0,50/F380)</f>
        <v>0</v>
      </c>
    </row>
    <row r="381" spans="1:8" ht="15.75" thickBot="1" x14ac:dyDescent="0.3">
      <c r="A381" s="349"/>
      <c r="B381" s="374"/>
      <c r="C381" s="29"/>
      <c r="D381" s="40"/>
      <c r="E381" s="29"/>
      <c r="F381" s="29"/>
      <c r="G381" s="22"/>
      <c r="H381" s="41">
        <f>IF(F381=0,0,50/F381)</f>
        <v>0</v>
      </c>
    </row>
    <row r="382" spans="1:8" x14ac:dyDescent="0.25">
      <c r="A382" s="349"/>
      <c r="B382" s="374"/>
      <c r="C382" s="22" t="s">
        <v>370</v>
      </c>
      <c r="D382" s="22"/>
      <c r="E382" s="22"/>
      <c r="F382" s="22"/>
      <c r="G382" s="44">
        <f>COUNTIF(D384:D393,"nu")</f>
        <v>0</v>
      </c>
      <c r="H382" s="45">
        <f>SUMIF(D384:D393,"NU",H384:H393)</f>
        <v>0</v>
      </c>
    </row>
    <row r="383" spans="1:8" ht="15.75" thickBot="1" x14ac:dyDescent="0.3">
      <c r="A383" s="349"/>
      <c r="B383" s="374"/>
      <c r="C383" s="22" t="s">
        <v>371</v>
      </c>
      <c r="D383" s="38" t="s">
        <v>162</v>
      </c>
      <c r="E383" s="22"/>
      <c r="F383" s="22"/>
      <c r="G383" s="46">
        <f>COUNTIF(D384:D393,"da")</f>
        <v>0</v>
      </c>
      <c r="H383" s="47">
        <f>SUMIF(D384:D393,"DA",H384:H393)</f>
        <v>0</v>
      </c>
    </row>
    <row r="384" spans="1:8" x14ac:dyDescent="0.25">
      <c r="A384" s="349"/>
      <c r="B384" s="374"/>
      <c r="C384" s="29"/>
      <c r="D384" s="40"/>
      <c r="E384" s="22"/>
      <c r="F384" s="22"/>
      <c r="G384" s="22"/>
      <c r="H384" s="41">
        <f>IF(C384=0,0,12)</f>
        <v>0</v>
      </c>
    </row>
    <row r="385" spans="1:8" x14ac:dyDescent="0.25">
      <c r="A385" s="349"/>
      <c r="B385" s="375"/>
      <c r="C385" s="29"/>
      <c r="D385" s="174"/>
      <c r="E385" s="42"/>
      <c r="F385" s="42"/>
      <c r="G385" s="42"/>
      <c r="H385" s="41">
        <f t="shared" ref="H385:H391" si="35">IF(C385=0,0,12)</f>
        <v>0</v>
      </c>
    </row>
    <row r="386" spans="1:8" x14ac:dyDescent="0.25">
      <c r="A386" s="349"/>
      <c r="B386" s="375"/>
      <c r="C386" s="29"/>
      <c r="D386" s="174"/>
      <c r="E386" s="42"/>
      <c r="F386" s="42"/>
      <c r="G386" s="42"/>
      <c r="H386" s="41">
        <f t="shared" si="35"/>
        <v>0</v>
      </c>
    </row>
    <row r="387" spans="1:8" x14ac:dyDescent="0.25">
      <c r="A387" s="349"/>
      <c r="B387" s="375"/>
      <c r="C387" s="29"/>
      <c r="D387" s="174"/>
      <c r="E387" s="42"/>
      <c r="F387" s="42"/>
      <c r="G387" s="42"/>
      <c r="H387" s="41">
        <f t="shared" si="35"/>
        <v>0</v>
      </c>
    </row>
    <row r="388" spans="1:8" x14ac:dyDescent="0.25">
      <c r="A388" s="349"/>
      <c r="B388" s="375"/>
      <c r="C388" s="29"/>
      <c r="D388" s="174"/>
      <c r="E388" s="42"/>
      <c r="F388" s="42"/>
      <c r="G388" s="42"/>
      <c r="H388" s="41">
        <f>IF(C388=0,0,12)</f>
        <v>0</v>
      </c>
    </row>
    <row r="389" spans="1:8" x14ac:dyDescent="0.25">
      <c r="A389" s="349"/>
      <c r="B389" s="375"/>
      <c r="C389" s="29"/>
      <c r="D389" s="174"/>
      <c r="E389" s="42"/>
      <c r="F389" s="42"/>
      <c r="G389" s="42"/>
      <c r="H389" s="41">
        <f t="shared" si="35"/>
        <v>0</v>
      </c>
    </row>
    <row r="390" spans="1:8" x14ac:dyDescent="0.25">
      <c r="A390" s="349"/>
      <c r="B390" s="375"/>
      <c r="C390" s="29"/>
      <c r="D390" s="174"/>
      <c r="E390" s="42"/>
      <c r="F390" s="42"/>
      <c r="G390" s="42"/>
      <c r="H390" s="41">
        <f t="shared" si="35"/>
        <v>0</v>
      </c>
    </row>
    <row r="391" spans="1:8" x14ac:dyDescent="0.25">
      <c r="A391" s="349"/>
      <c r="B391" s="375"/>
      <c r="C391" s="29"/>
      <c r="D391" s="174"/>
      <c r="E391" s="42"/>
      <c r="F391" s="42"/>
      <c r="G391" s="42"/>
      <c r="H391" s="41">
        <f t="shared" si="35"/>
        <v>0</v>
      </c>
    </row>
    <row r="392" spans="1:8" x14ac:dyDescent="0.25">
      <c r="A392" s="349"/>
      <c r="B392" s="375"/>
      <c r="C392" s="29"/>
      <c r="D392" s="174"/>
      <c r="E392" s="42"/>
      <c r="F392" s="42"/>
      <c r="G392" s="42"/>
      <c r="H392" s="41">
        <f>IF(C392=0,0,12)</f>
        <v>0</v>
      </c>
    </row>
    <row r="393" spans="1:8" ht="15.75" thickBot="1" x14ac:dyDescent="0.3">
      <c r="A393" s="358"/>
      <c r="B393" s="375"/>
      <c r="C393" s="29"/>
      <c r="D393" s="174"/>
      <c r="E393" s="42"/>
      <c r="F393" s="42"/>
      <c r="G393" s="42"/>
      <c r="H393" s="41">
        <f>IF(C393=0,0,12)</f>
        <v>0</v>
      </c>
    </row>
    <row r="394" spans="1:8" ht="15.75" thickBot="1" x14ac:dyDescent="0.3">
      <c r="A394" s="351" t="s">
        <v>59</v>
      </c>
      <c r="B394" s="23" t="s">
        <v>60</v>
      </c>
      <c r="C394" s="24"/>
      <c r="D394" s="24"/>
      <c r="E394" s="24"/>
      <c r="F394" s="24"/>
      <c r="G394" s="24">
        <f>G395+G404</f>
        <v>0</v>
      </c>
      <c r="H394" s="60">
        <f>H395+H404+H414</f>
        <v>0</v>
      </c>
    </row>
    <row r="395" spans="1:8" x14ac:dyDescent="0.25">
      <c r="A395" s="349"/>
      <c r="B395" s="376"/>
      <c r="C395" s="22" t="s">
        <v>45</v>
      </c>
      <c r="D395" s="38"/>
      <c r="E395" s="21"/>
      <c r="F395" s="21"/>
      <c r="G395" s="44">
        <f>COUNTIF(D397:D403,"nu")</f>
        <v>0</v>
      </c>
      <c r="H395" s="45">
        <f>SUMIF(D397:D403,"NU",H397:H403)</f>
        <v>0</v>
      </c>
    </row>
    <row r="396" spans="1:8" ht="15.75" thickBot="1" x14ac:dyDescent="0.3">
      <c r="A396" s="349"/>
      <c r="B396" s="376"/>
      <c r="C396" s="22" t="s">
        <v>204</v>
      </c>
      <c r="D396" s="38" t="s">
        <v>162</v>
      </c>
      <c r="E396" s="21"/>
      <c r="F396" s="21"/>
      <c r="G396" s="46">
        <f>COUNTIF(D397:D403,"da")</f>
        <v>0</v>
      </c>
      <c r="H396" s="47">
        <f>SUMIF(D397:D403,"DA",H397:H403)</f>
        <v>0</v>
      </c>
    </row>
    <row r="397" spans="1:8" x14ac:dyDescent="0.25">
      <c r="A397" s="349"/>
      <c r="B397" s="377"/>
      <c r="C397" s="29"/>
      <c r="D397" s="40"/>
      <c r="E397" s="22"/>
      <c r="F397" s="22"/>
      <c r="G397" s="22"/>
      <c r="H397" s="41">
        <f t="shared" ref="H397:H403" si="36">IF(C397=0,0,20)</f>
        <v>0</v>
      </c>
    </row>
    <row r="398" spans="1:8" x14ac:dyDescent="0.25">
      <c r="A398" s="349"/>
      <c r="B398" s="377"/>
      <c r="C398" s="29"/>
      <c r="D398" s="40"/>
      <c r="E398" s="22"/>
      <c r="F398" s="22"/>
      <c r="G398" s="22"/>
      <c r="H398" s="41">
        <f t="shared" si="36"/>
        <v>0</v>
      </c>
    </row>
    <row r="399" spans="1:8" x14ac:dyDescent="0.25">
      <c r="A399" s="349"/>
      <c r="B399" s="377"/>
      <c r="C399" s="29"/>
      <c r="D399" s="40"/>
      <c r="E399" s="22"/>
      <c r="F399" s="22"/>
      <c r="G399" s="22"/>
      <c r="H399" s="41">
        <f t="shared" si="36"/>
        <v>0</v>
      </c>
    </row>
    <row r="400" spans="1:8" x14ac:dyDescent="0.25">
      <c r="A400" s="349"/>
      <c r="B400" s="377"/>
      <c r="C400" s="29"/>
      <c r="D400" s="40"/>
      <c r="E400" s="22"/>
      <c r="F400" s="22"/>
      <c r="G400" s="22"/>
      <c r="H400" s="41">
        <f t="shared" si="36"/>
        <v>0</v>
      </c>
    </row>
    <row r="401" spans="1:8" x14ac:dyDescent="0.25">
      <c r="A401" s="349"/>
      <c r="B401" s="377"/>
      <c r="C401" s="29"/>
      <c r="D401" s="40"/>
      <c r="E401" s="22"/>
      <c r="F401" s="22"/>
      <c r="G401" s="22"/>
      <c r="H401" s="41">
        <f t="shared" si="36"/>
        <v>0</v>
      </c>
    </row>
    <row r="402" spans="1:8" x14ac:dyDescent="0.25">
      <c r="A402" s="349"/>
      <c r="B402" s="377"/>
      <c r="C402" s="29"/>
      <c r="D402" s="40"/>
      <c r="E402" s="22"/>
      <c r="F402" s="22"/>
      <c r="G402" s="22"/>
      <c r="H402" s="41">
        <f t="shared" si="36"/>
        <v>0</v>
      </c>
    </row>
    <row r="403" spans="1:8" ht="15.75" thickBot="1" x14ac:dyDescent="0.3">
      <c r="A403" s="349"/>
      <c r="B403" s="377"/>
      <c r="C403" s="29"/>
      <c r="D403" s="40"/>
      <c r="E403" s="22"/>
      <c r="F403" s="22"/>
      <c r="G403" s="22"/>
      <c r="H403" s="41">
        <f t="shared" si="36"/>
        <v>0</v>
      </c>
    </row>
    <row r="404" spans="1:8" x14ac:dyDescent="0.25">
      <c r="A404" s="349"/>
      <c r="B404" s="377"/>
      <c r="C404" s="22" t="s">
        <v>48</v>
      </c>
      <c r="D404" s="22"/>
      <c r="E404" s="22"/>
      <c r="F404" s="22"/>
      <c r="G404" s="44">
        <f>COUNTIF(D406:D413,"nu")</f>
        <v>0</v>
      </c>
      <c r="H404" s="45">
        <f>SUMIF(D406:D413,"NU",H406:H413)</f>
        <v>0</v>
      </c>
    </row>
    <row r="405" spans="1:8" ht="15.75" thickBot="1" x14ac:dyDescent="0.3">
      <c r="A405" s="349"/>
      <c r="B405" s="377"/>
      <c r="C405" s="22" t="s">
        <v>205</v>
      </c>
      <c r="D405" s="38" t="s">
        <v>162</v>
      </c>
      <c r="E405" s="22"/>
      <c r="F405" s="22" t="s">
        <v>10</v>
      </c>
      <c r="G405" s="46">
        <f>COUNTIF(D406:D413,"da")</f>
        <v>0</v>
      </c>
      <c r="H405" s="47">
        <f>SUMIF(D406:D413,"DA",H406:H413)</f>
        <v>0</v>
      </c>
    </row>
    <row r="406" spans="1:8" x14ac:dyDescent="0.25">
      <c r="A406" s="349"/>
      <c r="B406" s="377"/>
      <c r="C406" s="29"/>
      <c r="D406" s="40"/>
      <c r="E406" s="29"/>
      <c r="F406" s="29"/>
      <c r="G406" s="22"/>
      <c r="H406" s="41">
        <f t="shared" ref="H406:H413" si="37">IF(F406=0,0,20/F406)</f>
        <v>0</v>
      </c>
    </row>
    <row r="407" spans="1:8" x14ac:dyDescent="0.25">
      <c r="A407" s="349"/>
      <c r="B407" s="377"/>
      <c r="C407" s="29"/>
      <c r="D407" s="40"/>
      <c r="E407" s="29"/>
      <c r="F407" s="29"/>
      <c r="G407" s="22"/>
      <c r="H407" s="41">
        <f t="shared" si="37"/>
        <v>0</v>
      </c>
    </row>
    <row r="408" spans="1:8" x14ac:dyDescent="0.25">
      <c r="A408" s="349"/>
      <c r="B408" s="377"/>
      <c r="C408" s="29"/>
      <c r="D408" s="40"/>
      <c r="E408" s="29"/>
      <c r="F408" s="29"/>
      <c r="G408" s="22"/>
      <c r="H408" s="41">
        <f t="shared" si="37"/>
        <v>0</v>
      </c>
    </row>
    <row r="409" spans="1:8" x14ac:dyDescent="0.25">
      <c r="A409" s="349"/>
      <c r="B409" s="377"/>
      <c r="C409" s="29"/>
      <c r="D409" s="40"/>
      <c r="E409" s="29"/>
      <c r="F409" s="29"/>
      <c r="G409" s="22"/>
      <c r="H409" s="41">
        <f t="shared" si="37"/>
        <v>0</v>
      </c>
    </row>
    <row r="410" spans="1:8" x14ac:dyDescent="0.25">
      <c r="A410" s="349"/>
      <c r="B410" s="377"/>
      <c r="C410" s="29"/>
      <c r="D410" s="40"/>
      <c r="E410" s="29"/>
      <c r="F410" s="29"/>
      <c r="G410" s="22"/>
      <c r="H410" s="41">
        <f>IF(F410=0,0,20/F410)</f>
        <v>0</v>
      </c>
    </row>
    <row r="411" spans="1:8" x14ac:dyDescent="0.25">
      <c r="A411" s="349"/>
      <c r="B411" s="377"/>
      <c r="C411" s="29"/>
      <c r="D411" s="40"/>
      <c r="E411" s="29"/>
      <c r="F411" s="29"/>
      <c r="G411" s="22"/>
      <c r="H411" s="41">
        <f t="shared" si="37"/>
        <v>0</v>
      </c>
    </row>
    <row r="412" spans="1:8" x14ac:dyDescent="0.25">
      <c r="A412" s="349"/>
      <c r="B412" s="377"/>
      <c r="C412" s="29"/>
      <c r="D412" s="40"/>
      <c r="E412" s="29"/>
      <c r="F412" s="29"/>
      <c r="G412" s="22"/>
      <c r="H412" s="41">
        <f t="shared" si="37"/>
        <v>0</v>
      </c>
    </row>
    <row r="413" spans="1:8" ht="15.75" thickBot="1" x14ac:dyDescent="0.3">
      <c r="A413" s="349"/>
      <c r="B413" s="377"/>
      <c r="C413" s="29"/>
      <c r="D413" s="40"/>
      <c r="E413" s="29"/>
      <c r="F413" s="29"/>
      <c r="G413" s="22"/>
      <c r="H413" s="41">
        <f t="shared" si="37"/>
        <v>0</v>
      </c>
    </row>
    <row r="414" spans="1:8" x14ac:dyDescent="0.25">
      <c r="A414" s="349"/>
      <c r="B414" s="377"/>
      <c r="C414" s="22" t="s">
        <v>358</v>
      </c>
      <c r="D414" s="22"/>
      <c r="E414" s="22"/>
      <c r="F414" s="22"/>
      <c r="G414" s="44">
        <f>COUNTIF(D416:D423,"nu")</f>
        <v>0</v>
      </c>
      <c r="H414" s="45">
        <f>SUMIF(D416:D423,"NU",H416:H423)</f>
        <v>0</v>
      </c>
    </row>
    <row r="415" spans="1:8" ht="15.75" thickBot="1" x14ac:dyDescent="0.3">
      <c r="A415" s="349"/>
      <c r="B415" s="377"/>
      <c r="C415" s="22" t="s">
        <v>359</v>
      </c>
      <c r="D415" s="38" t="s">
        <v>162</v>
      </c>
      <c r="E415" s="22"/>
      <c r="F415" s="22"/>
      <c r="G415" s="46">
        <f>COUNTIF(D416:D423,"da")</f>
        <v>0</v>
      </c>
      <c r="H415" s="47">
        <f>SUMIF(D416:D423,"DA",H416:H423)</f>
        <v>0</v>
      </c>
    </row>
    <row r="416" spans="1:8" x14ac:dyDescent="0.25">
      <c r="A416" s="349"/>
      <c r="B416" s="377"/>
      <c r="C416" s="29"/>
      <c r="D416" s="40"/>
      <c r="E416" s="22"/>
      <c r="F416" s="22"/>
      <c r="G416" s="22"/>
      <c r="H416" s="41">
        <f t="shared" ref="H416:H423" si="38">IF(C416=0,0,6)</f>
        <v>0</v>
      </c>
    </row>
    <row r="417" spans="1:8" x14ac:dyDescent="0.25">
      <c r="A417" s="349"/>
      <c r="B417" s="378"/>
      <c r="C417" s="29"/>
      <c r="D417" s="174"/>
      <c r="E417" s="42"/>
      <c r="F417" s="42"/>
      <c r="G417" s="42"/>
      <c r="H417" s="41">
        <f t="shared" si="38"/>
        <v>0</v>
      </c>
    </row>
    <row r="418" spans="1:8" x14ac:dyDescent="0.25">
      <c r="A418" s="349"/>
      <c r="B418" s="378"/>
      <c r="C418" s="29"/>
      <c r="D418" s="174"/>
      <c r="E418" s="42"/>
      <c r="F418" s="42"/>
      <c r="G418" s="42"/>
      <c r="H418" s="41">
        <f t="shared" si="38"/>
        <v>0</v>
      </c>
    </row>
    <row r="419" spans="1:8" x14ac:dyDescent="0.25">
      <c r="A419" s="349"/>
      <c r="B419" s="378"/>
      <c r="C419" s="29"/>
      <c r="D419" s="174"/>
      <c r="E419" s="42"/>
      <c r="F419" s="42"/>
      <c r="G419" s="42"/>
      <c r="H419" s="41">
        <f t="shared" si="38"/>
        <v>0</v>
      </c>
    </row>
    <row r="420" spans="1:8" x14ac:dyDescent="0.25">
      <c r="A420" s="349"/>
      <c r="B420" s="378"/>
      <c r="C420" s="29"/>
      <c r="D420" s="174"/>
      <c r="E420" s="42"/>
      <c r="F420" s="42"/>
      <c r="G420" s="42"/>
      <c r="H420" s="41">
        <f t="shared" si="38"/>
        <v>0</v>
      </c>
    </row>
    <row r="421" spans="1:8" x14ac:dyDescent="0.25">
      <c r="A421" s="349"/>
      <c r="B421" s="378"/>
      <c r="C421" s="29"/>
      <c r="D421" s="174"/>
      <c r="E421" s="42"/>
      <c r="F421" s="42"/>
      <c r="G421" s="42"/>
      <c r="H421" s="41">
        <f t="shared" si="38"/>
        <v>0</v>
      </c>
    </row>
    <row r="422" spans="1:8" x14ac:dyDescent="0.25">
      <c r="A422" s="349"/>
      <c r="B422" s="378"/>
      <c r="C422" s="29"/>
      <c r="D422" s="174"/>
      <c r="E422" s="42"/>
      <c r="F422" s="42"/>
      <c r="G422" s="42"/>
      <c r="H422" s="41">
        <f t="shared" si="38"/>
        <v>0</v>
      </c>
    </row>
    <row r="423" spans="1:8" ht="15.75" thickBot="1" x14ac:dyDescent="0.3">
      <c r="A423" s="350"/>
      <c r="B423" s="378"/>
      <c r="C423" s="29"/>
      <c r="D423" s="174"/>
      <c r="E423" s="42"/>
      <c r="F423" s="42"/>
      <c r="G423" s="42"/>
      <c r="H423" s="41">
        <f t="shared" si="38"/>
        <v>0</v>
      </c>
    </row>
    <row r="424" spans="1:8" ht="33.75" customHeight="1" thickBot="1" x14ac:dyDescent="0.3">
      <c r="A424" s="362" t="s">
        <v>293</v>
      </c>
      <c r="B424" s="363"/>
      <c r="C424" s="363"/>
      <c r="D424" s="363"/>
      <c r="E424" s="363"/>
      <c r="F424" s="24"/>
      <c r="G424" s="85"/>
      <c r="H424" s="142">
        <f>IF(G8&lt;=10,H79+H104+H157+H358+H394,(H79+H104+H157+H358+H394)/($G$8-5)*5)</f>
        <v>0</v>
      </c>
    </row>
    <row r="425" spans="1:8" ht="15.75" thickBot="1" x14ac:dyDescent="0.3">
      <c r="A425" s="348" t="s">
        <v>61</v>
      </c>
      <c r="B425" s="35" t="s">
        <v>62</v>
      </c>
      <c r="C425" s="50"/>
      <c r="D425" s="50"/>
      <c r="E425" s="50"/>
      <c r="F425" s="194" t="s">
        <v>240</v>
      </c>
      <c r="G425" s="85">
        <f>G426+G427+G429+G430+G432+G433+G435+G436+G438+G439+G441+G442+G445+G446+G448+G449+G451+G452+G454+G455</f>
        <v>0</v>
      </c>
      <c r="H425" s="69">
        <f>SUM(H426:H456)+H156</f>
        <v>0</v>
      </c>
    </row>
    <row r="426" spans="1:8" ht="15.75" customHeight="1" x14ac:dyDescent="0.25">
      <c r="A426" s="349"/>
      <c r="B426" s="393" t="s">
        <v>220</v>
      </c>
      <c r="C426" s="62" t="s">
        <v>201</v>
      </c>
      <c r="D426" s="62"/>
      <c r="E426" s="62"/>
      <c r="F426" s="62"/>
      <c r="G426" s="195">
        <f>G81</f>
        <v>0</v>
      </c>
      <c r="H426" s="195">
        <f>H81</f>
        <v>0</v>
      </c>
    </row>
    <row r="427" spans="1:8" x14ac:dyDescent="0.25">
      <c r="A427" s="349"/>
      <c r="B427" s="364"/>
      <c r="C427" s="22" t="s">
        <v>202</v>
      </c>
      <c r="D427" s="22"/>
      <c r="E427" s="22"/>
      <c r="F427" s="22"/>
      <c r="G427" s="196">
        <f>G89</f>
        <v>0</v>
      </c>
      <c r="H427" s="196">
        <f>H89</f>
        <v>0</v>
      </c>
    </row>
    <row r="428" spans="1:8" x14ac:dyDescent="0.25">
      <c r="A428" s="349"/>
      <c r="B428" s="364"/>
      <c r="C428" s="22" t="s">
        <v>372</v>
      </c>
      <c r="D428" s="22"/>
      <c r="E428" s="22"/>
      <c r="F428" s="22"/>
      <c r="G428" s="196">
        <f>G96</f>
        <v>0</v>
      </c>
      <c r="H428" s="196">
        <f>H96</f>
        <v>0</v>
      </c>
    </row>
    <row r="429" spans="1:8" x14ac:dyDescent="0.25">
      <c r="A429" s="349"/>
      <c r="B429" s="364" t="s">
        <v>221</v>
      </c>
      <c r="C429" s="22" t="s">
        <v>204</v>
      </c>
      <c r="D429" s="22"/>
      <c r="E429" s="22"/>
      <c r="F429" s="22"/>
      <c r="G429" s="196">
        <f>G106</f>
        <v>0</v>
      </c>
      <c r="H429" s="196">
        <f>H106</f>
        <v>0</v>
      </c>
    </row>
    <row r="430" spans="1:8" x14ac:dyDescent="0.25">
      <c r="A430" s="349"/>
      <c r="B430" s="364"/>
      <c r="C430" s="22" t="s">
        <v>205</v>
      </c>
      <c r="D430" s="22"/>
      <c r="E430" s="22"/>
      <c r="F430" s="22"/>
      <c r="G430" s="196">
        <f>G125</f>
        <v>0</v>
      </c>
      <c r="H430" s="196">
        <f>H125</f>
        <v>0</v>
      </c>
    </row>
    <row r="431" spans="1:8" x14ac:dyDescent="0.25">
      <c r="A431" s="349"/>
      <c r="B431" s="364"/>
      <c r="C431" s="22" t="s">
        <v>373</v>
      </c>
      <c r="D431" s="22"/>
      <c r="E431" s="22"/>
      <c r="F431" s="22"/>
      <c r="G431" s="196">
        <f>G142</f>
        <v>0</v>
      </c>
      <c r="H431" s="196">
        <f>H142</f>
        <v>0</v>
      </c>
    </row>
    <row r="432" spans="1:8" x14ac:dyDescent="0.25">
      <c r="A432" s="349"/>
      <c r="B432" s="364" t="s">
        <v>224</v>
      </c>
      <c r="C432" s="22" t="s">
        <v>204</v>
      </c>
      <c r="D432" s="22"/>
      <c r="E432" s="22"/>
      <c r="F432" s="22"/>
      <c r="G432" s="196">
        <f>G160</f>
        <v>0</v>
      </c>
      <c r="H432" s="196">
        <f>H160</f>
        <v>0</v>
      </c>
    </row>
    <row r="433" spans="1:8" x14ac:dyDescent="0.25">
      <c r="A433" s="349"/>
      <c r="B433" s="364"/>
      <c r="C433" s="22" t="s">
        <v>205</v>
      </c>
      <c r="D433" s="22"/>
      <c r="E433" s="22"/>
      <c r="F433" s="22"/>
      <c r="G433" s="196">
        <f>G169</f>
        <v>0</v>
      </c>
      <c r="H433" s="196">
        <f>H169</f>
        <v>0</v>
      </c>
    </row>
    <row r="434" spans="1:8" x14ac:dyDescent="0.25">
      <c r="A434" s="349"/>
      <c r="B434" s="364"/>
      <c r="C434" s="22" t="s">
        <v>359</v>
      </c>
      <c r="D434" s="22"/>
      <c r="E434" s="22"/>
      <c r="F434" s="22"/>
      <c r="G434" s="196">
        <f>G180</f>
        <v>0</v>
      </c>
      <c r="H434" s="196">
        <f>H180</f>
        <v>0</v>
      </c>
    </row>
    <row r="435" spans="1:8" x14ac:dyDescent="0.25">
      <c r="A435" s="349"/>
      <c r="B435" s="364" t="s">
        <v>225</v>
      </c>
      <c r="C435" s="22" t="s">
        <v>206</v>
      </c>
      <c r="D435" s="22"/>
      <c r="E435" s="22"/>
      <c r="F435" s="22"/>
      <c r="G435" s="196">
        <f>G192</f>
        <v>0</v>
      </c>
      <c r="H435" s="196">
        <f>H192</f>
        <v>0</v>
      </c>
    </row>
    <row r="436" spans="1:8" x14ac:dyDescent="0.25">
      <c r="A436" s="349"/>
      <c r="B436" s="364"/>
      <c r="C436" s="22" t="s">
        <v>207</v>
      </c>
      <c r="D436" s="22"/>
      <c r="E436" s="22"/>
      <c r="F436" s="22"/>
      <c r="G436" s="196">
        <f>G200</f>
        <v>0</v>
      </c>
      <c r="H436" s="196">
        <f>H200</f>
        <v>0</v>
      </c>
    </row>
    <row r="437" spans="1:8" ht="15.75" customHeight="1" x14ac:dyDescent="0.25">
      <c r="A437" s="349"/>
      <c r="B437" s="364"/>
      <c r="C437" s="22" t="s">
        <v>361</v>
      </c>
      <c r="D437" s="22"/>
      <c r="E437" s="22"/>
      <c r="F437" s="22"/>
      <c r="G437" s="196">
        <f>G210</f>
        <v>0</v>
      </c>
      <c r="H437" s="196">
        <f>H210</f>
        <v>0</v>
      </c>
    </row>
    <row r="438" spans="1:8" x14ac:dyDescent="0.25">
      <c r="A438" s="349"/>
      <c r="B438" s="364" t="s">
        <v>226</v>
      </c>
      <c r="C438" s="22" t="s">
        <v>216</v>
      </c>
      <c r="D438" s="22"/>
      <c r="E438" s="22"/>
      <c r="F438" s="22"/>
      <c r="G438" s="196">
        <f>G220</f>
        <v>0</v>
      </c>
      <c r="H438" s="196">
        <f>H220</f>
        <v>0</v>
      </c>
    </row>
    <row r="439" spans="1:8" x14ac:dyDescent="0.25">
      <c r="A439" s="349"/>
      <c r="B439" s="364"/>
      <c r="C439" s="22" t="s">
        <v>262</v>
      </c>
      <c r="D439" s="22"/>
      <c r="E439" s="22"/>
      <c r="F439" s="22"/>
      <c r="G439" s="196">
        <f>G229</f>
        <v>0</v>
      </c>
      <c r="H439" s="196">
        <f>H229</f>
        <v>0</v>
      </c>
    </row>
    <row r="440" spans="1:8" x14ac:dyDescent="0.25">
      <c r="A440" s="349"/>
      <c r="B440" s="364"/>
      <c r="C440" s="22" t="s">
        <v>363</v>
      </c>
      <c r="D440" s="22"/>
      <c r="E440" s="22"/>
      <c r="F440" s="22"/>
      <c r="G440" s="196">
        <f>G240</f>
        <v>0</v>
      </c>
      <c r="H440" s="196">
        <f>H240</f>
        <v>0</v>
      </c>
    </row>
    <row r="441" spans="1:8" x14ac:dyDescent="0.25">
      <c r="A441" s="349"/>
      <c r="B441" s="364" t="s">
        <v>227</v>
      </c>
      <c r="C441" s="22" t="s">
        <v>217</v>
      </c>
      <c r="D441" s="22"/>
      <c r="E441" s="22"/>
      <c r="F441" s="22"/>
      <c r="G441" s="196">
        <f>G251</f>
        <v>0</v>
      </c>
      <c r="H441" s="196">
        <f>H251</f>
        <v>0</v>
      </c>
    </row>
    <row r="442" spans="1:8" x14ac:dyDescent="0.25">
      <c r="A442" s="349"/>
      <c r="B442" s="364"/>
      <c r="C442" s="249" t="s">
        <v>263</v>
      </c>
      <c r="D442" s="22"/>
      <c r="E442" s="22"/>
      <c r="F442" s="22"/>
      <c r="G442" s="196">
        <f>G262</f>
        <v>0</v>
      </c>
      <c r="H442" s="196">
        <f>H262</f>
        <v>0</v>
      </c>
    </row>
    <row r="443" spans="1:8" x14ac:dyDescent="0.25">
      <c r="A443" s="349"/>
      <c r="B443" s="364"/>
      <c r="C443" s="14" t="s">
        <v>374</v>
      </c>
      <c r="D443" s="22"/>
      <c r="E443" s="22"/>
      <c r="F443" s="22"/>
      <c r="G443" s="196">
        <f>G277</f>
        <v>0</v>
      </c>
      <c r="H443" s="196">
        <f>H277</f>
        <v>0</v>
      </c>
    </row>
    <row r="444" spans="1:8" x14ac:dyDescent="0.25">
      <c r="A444" s="349"/>
      <c r="B444" s="364"/>
      <c r="C444" s="14" t="s">
        <v>375</v>
      </c>
      <c r="D444" s="22"/>
      <c r="E444" s="22"/>
      <c r="F444" s="22"/>
      <c r="G444" s="196">
        <f>G288</f>
        <v>0</v>
      </c>
      <c r="H444" s="196">
        <f>H288</f>
        <v>0</v>
      </c>
    </row>
    <row r="445" spans="1:8" x14ac:dyDescent="0.25">
      <c r="A445" s="349"/>
      <c r="B445" s="364" t="s">
        <v>228</v>
      </c>
      <c r="C445" s="249" t="s">
        <v>219</v>
      </c>
      <c r="D445" s="22"/>
      <c r="E445" s="22"/>
      <c r="F445" s="22"/>
      <c r="G445" s="196">
        <f>G299</f>
        <v>0</v>
      </c>
      <c r="H445" s="196">
        <f>H299</f>
        <v>0</v>
      </c>
    </row>
    <row r="446" spans="1:8" x14ac:dyDescent="0.25">
      <c r="A446" s="349"/>
      <c r="B446" s="364"/>
      <c r="C446" s="249" t="s">
        <v>264</v>
      </c>
      <c r="D446" s="22"/>
      <c r="E446" s="22"/>
      <c r="F446" s="22"/>
      <c r="G446" s="196">
        <f>G308</f>
        <v>0</v>
      </c>
      <c r="H446" s="196">
        <f>H308</f>
        <v>0</v>
      </c>
    </row>
    <row r="447" spans="1:8" x14ac:dyDescent="0.25">
      <c r="A447" s="349"/>
      <c r="B447" s="364"/>
      <c r="C447" s="249" t="s">
        <v>376</v>
      </c>
      <c r="D447" s="22"/>
      <c r="E447" s="22"/>
      <c r="F447" s="22"/>
      <c r="G447" s="196">
        <f>G318</f>
        <v>0</v>
      </c>
      <c r="H447" s="196">
        <f>H318</f>
        <v>0</v>
      </c>
    </row>
    <row r="448" spans="1:8" x14ac:dyDescent="0.25">
      <c r="A448" s="349"/>
      <c r="B448" s="364" t="s">
        <v>229</v>
      </c>
      <c r="C448" s="249" t="s">
        <v>206</v>
      </c>
      <c r="D448" s="22"/>
      <c r="E448" s="22"/>
      <c r="F448" s="22"/>
      <c r="G448" s="196">
        <f>G329</f>
        <v>0</v>
      </c>
      <c r="H448" s="196">
        <f>H329</f>
        <v>0</v>
      </c>
    </row>
    <row r="449" spans="1:8" x14ac:dyDescent="0.25">
      <c r="A449" s="349"/>
      <c r="B449" s="364"/>
      <c r="C449" s="249" t="s">
        <v>207</v>
      </c>
      <c r="D449" s="22"/>
      <c r="E449" s="22"/>
      <c r="F449" s="22"/>
      <c r="G449" s="196">
        <f>G339</f>
        <v>0</v>
      </c>
      <c r="H449" s="196">
        <f>H339</f>
        <v>0</v>
      </c>
    </row>
    <row r="450" spans="1:8" x14ac:dyDescent="0.25">
      <c r="A450" s="349"/>
      <c r="B450" s="364"/>
      <c r="C450" s="249" t="s">
        <v>377</v>
      </c>
      <c r="D450" s="22"/>
      <c r="E450" s="22"/>
      <c r="F450" s="22"/>
      <c r="G450" s="196">
        <f>G349</f>
        <v>0</v>
      </c>
      <c r="H450" s="196">
        <f>H349</f>
        <v>0</v>
      </c>
    </row>
    <row r="451" spans="1:8" x14ac:dyDescent="0.25">
      <c r="A451" s="349"/>
      <c r="B451" s="364" t="s">
        <v>222</v>
      </c>
      <c r="C451" s="249" t="s">
        <v>209</v>
      </c>
      <c r="D451" s="22"/>
      <c r="E451" s="22"/>
      <c r="F451" s="22"/>
      <c r="G451" s="196">
        <f>G360</f>
        <v>0</v>
      </c>
      <c r="H451" s="196">
        <f>H360</f>
        <v>0</v>
      </c>
    </row>
    <row r="452" spans="1:8" x14ac:dyDescent="0.25">
      <c r="A452" s="349"/>
      <c r="B452" s="364"/>
      <c r="C452" s="249" t="s">
        <v>211</v>
      </c>
      <c r="D452" s="22"/>
      <c r="E452" s="22"/>
      <c r="F452" s="22"/>
      <c r="G452" s="196">
        <f>G371</f>
        <v>0</v>
      </c>
      <c r="H452" s="196">
        <f>H371</f>
        <v>0</v>
      </c>
    </row>
    <row r="453" spans="1:8" x14ac:dyDescent="0.25">
      <c r="A453" s="349"/>
      <c r="B453" s="364"/>
      <c r="C453" s="249" t="s">
        <v>378</v>
      </c>
      <c r="D453" s="22"/>
      <c r="E453" s="22"/>
      <c r="F453" s="22"/>
      <c r="G453" s="196">
        <f>G383</f>
        <v>0</v>
      </c>
      <c r="H453" s="196">
        <f>H383</f>
        <v>0</v>
      </c>
    </row>
    <row r="454" spans="1:8" x14ac:dyDescent="0.25">
      <c r="A454" s="349"/>
      <c r="B454" s="364" t="s">
        <v>223</v>
      </c>
      <c r="C454" s="249" t="s">
        <v>204</v>
      </c>
      <c r="D454" s="22"/>
      <c r="E454" s="22"/>
      <c r="F454" s="22"/>
      <c r="G454" s="196">
        <f>G396</f>
        <v>0</v>
      </c>
      <c r="H454" s="196">
        <f>H396</f>
        <v>0</v>
      </c>
    </row>
    <row r="455" spans="1:8" x14ac:dyDescent="0.25">
      <c r="A455" s="349"/>
      <c r="B455" s="364"/>
      <c r="C455" s="22" t="s">
        <v>205</v>
      </c>
      <c r="D455" s="22"/>
      <c r="E455" s="22"/>
      <c r="F455" s="22"/>
      <c r="G455" s="196">
        <f>G405</f>
        <v>0</v>
      </c>
      <c r="H455" s="196">
        <f>H405</f>
        <v>0</v>
      </c>
    </row>
    <row r="456" spans="1:8" ht="15.75" thickBot="1" x14ac:dyDescent="0.3">
      <c r="A456" s="349"/>
      <c r="B456" s="394"/>
      <c r="C456" s="22" t="s">
        <v>379</v>
      </c>
      <c r="D456" s="22"/>
      <c r="E456" s="22"/>
      <c r="F456" s="22"/>
      <c r="G456" s="196">
        <f>G415</f>
        <v>0</v>
      </c>
      <c r="H456" s="196">
        <f>H415</f>
        <v>0</v>
      </c>
    </row>
    <row r="457" spans="1:8" ht="15.75" thickBot="1" x14ac:dyDescent="0.3">
      <c r="A457" s="351" t="s">
        <v>66</v>
      </c>
      <c r="B457" s="23" t="s">
        <v>63</v>
      </c>
      <c r="C457" s="24"/>
      <c r="D457" s="24"/>
      <c r="E457" s="24"/>
      <c r="F457" s="24"/>
      <c r="G457" s="24">
        <f>G458+G463+G468</f>
        <v>0</v>
      </c>
      <c r="H457" s="60">
        <f>H458+H463+H468</f>
        <v>0</v>
      </c>
    </row>
    <row r="458" spans="1:8" ht="15.75" thickBot="1" x14ac:dyDescent="0.3">
      <c r="A458" s="349"/>
      <c r="B458" s="373"/>
      <c r="C458" s="21" t="s">
        <v>231</v>
      </c>
      <c r="D458" s="21"/>
      <c r="E458" s="21"/>
      <c r="F458" s="22" t="s">
        <v>10</v>
      </c>
      <c r="G458" s="34">
        <f>COUNTA(C459:C462)</f>
        <v>0</v>
      </c>
      <c r="H458" s="39">
        <f>SUM(H459:H462)</f>
        <v>0</v>
      </c>
    </row>
    <row r="459" spans="1:8" x14ac:dyDescent="0.25">
      <c r="A459" s="349"/>
      <c r="B459" s="374"/>
      <c r="C459" s="29"/>
      <c r="D459" s="29"/>
      <c r="E459" s="29"/>
      <c r="F459" s="29"/>
      <c r="G459" s="22"/>
      <c r="H459" s="41">
        <f>IF(F459=0,0,100/F459)</f>
        <v>0</v>
      </c>
    </row>
    <row r="460" spans="1:8" x14ac:dyDescent="0.25">
      <c r="A460" s="349"/>
      <c r="B460" s="374"/>
      <c r="C460" s="29"/>
      <c r="D460" s="29"/>
      <c r="E460" s="29"/>
      <c r="F460" s="29"/>
      <c r="G460" s="22"/>
      <c r="H460" s="41">
        <f>IF(F460=0,0,100/F460)</f>
        <v>0</v>
      </c>
    </row>
    <row r="461" spans="1:8" x14ac:dyDescent="0.25">
      <c r="A461" s="349"/>
      <c r="B461" s="374"/>
      <c r="C461" s="29"/>
      <c r="D461" s="29"/>
      <c r="E461" s="29"/>
      <c r="F461" s="29"/>
      <c r="G461" s="22"/>
      <c r="H461" s="41">
        <f>IF(F461=0,0,100/F461)</f>
        <v>0</v>
      </c>
    </row>
    <row r="462" spans="1:8" ht="15.75" thickBot="1" x14ac:dyDescent="0.3">
      <c r="A462" s="349"/>
      <c r="B462" s="374"/>
      <c r="C462" s="29"/>
      <c r="D462" s="29"/>
      <c r="E462" s="29"/>
      <c r="F462" s="29"/>
      <c r="G462" s="22"/>
      <c r="H462" s="41">
        <f>IF(F462=0,0,100/F462)</f>
        <v>0</v>
      </c>
    </row>
    <row r="463" spans="1:8" ht="15.75" thickBot="1" x14ac:dyDescent="0.3">
      <c r="A463" s="349"/>
      <c r="B463" s="374"/>
      <c r="C463" s="22" t="s">
        <v>230</v>
      </c>
      <c r="D463" s="22"/>
      <c r="E463" s="22"/>
      <c r="F463" s="22" t="s">
        <v>10</v>
      </c>
      <c r="G463" s="34">
        <f>COUNTA(C464:C467)</f>
        <v>0</v>
      </c>
      <c r="H463" s="39">
        <f>SUM(H464:H467)</f>
        <v>0</v>
      </c>
    </row>
    <row r="464" spans="1:8" x14ac:dyDescent="0.25">
      <c r="A464" s="349"/>
      <c r="B464" s="374"/>
      <c r="C464" s="29"/>
      <c r="D464" s="29"/>
      <c r="E464" s="29"/>
      <c r="F464" s="29"/>
      <c r="G464" s="22"/>
      <c r="H464" s="41">
        <f>IF(F464=0,0,200/F464)</f>
        <v>0</v>
      </c>
    </row>
    <row r="465" spans="1:8" x14ac:dyDescent="0.25">
      <c r="A465" s="349"/>
      <c r="B465" s="374"/>
      <c r="C465" s="29"/>
      <c r="D465" s="29"/>
      <c r="E465" s="29"/>
      <c r="F465" s="29"/>
      <c r="G465" s="22"/>
      <c r="H465" s="41">
        <f>IF(F465=0,0,200/F465)</f>
        <v>0</v>
      </c>
    </row>
    <row r="466" spans="1:8" x14ac:dyDescent="0.25">
      <c r="A466" s="349"/>
      <c r="B466" s="374"/>
      <c r="C466" s="29"/>
      <c r="D466" s="29"/>
      <c r="E466" s="29"/>
      <c r="F466" s="29"/>
      <c r="G466" s="22"/>
      <c r="H466" s="41">
        <f>IF(F466=0,0,200/F466)</f>
        <v>0</v>
      </c>
    </row>
    <row r="467" spans="1:8" ht="15.75" thickBot="1" x14ac:dyDescent="0.3">
      <c r="A467" s="349"/>
      <c r="B467" s="374"/>
      <c r="C467" s="29"/>
      <c r="D467" s="29"/>
      <c r="E467" s="29"/>
      <c r="F467" s="29"/>
      <c r="G467" s="22"/>
      <c r="H467" s="41">
        <f>IF(F467=0,0,200/F467)</f>
        <v>0</v>
      </c>
    </row>
    <row r="468" spans="1:8" ht="15.75" thickBot="1" x14ac:dyDescent="0.3">
      <c r="A468" s="349"/>
      <c r="B468" s="374"/>
      <c r="C468" s="22" t="s">
        <v>232</v>
      </c>
      <c r="D468" s="22"/>
      <c r="E468" s="22"/>
      <c r="F468" s="22" t="s">
        <v>10</v>
      </c>
      <c r="G468" s="34">
        <f>COUNTA(C469:C472)</f>
        <v>0</v>
      </c>
      <c r="H468" s="39">
        <f>SUM(H469:H472)</f>
        <v>0</v>
      </c>
    </row>
    <row r="469" spans="1:8" x14ac:dyDescent="0.25">
      <c r="A469" s="349"/>
      <c r="B469" s="374"/>
      <c r="C469" s="29"/>
      <c r="D469" s="29"/>
      <c r="E469" s="29"/>
      <c r="F469" s="29"/>
      <c r="G469" s="22"/>
      <c r="H469" s="41">
        <f>IF(F469=0,0,50/F469)</f>
        <v>0</v>
      </c>
    </row>
    <row r="470" spans="1:8" x14ac:dyDescent="0.25">
      <c r="A470" s="349"/>
      <c r="B470" s="375"/>
      <c r="C470" s="48"/>
      <c r="D470" s="48"/>
      <c r="E470" s="48"/>
      <c r="F470" s="48"/>
      <c r="G470" s="42"/>
      <c r="H470" s="41">
        <f>IF(F470=0,0,50/F470)</f>
        <v>0</v>
      </c>
    </row>
    <row r="471" spans="1:8" x14ac:dyDescent="0.25">
      <c r="A471" s="349"/>
      <c r="B471" s="375"/>
      <c r="C471" s="48"/>
      <c r="D471" s="48"/>
      <c r="E471" s="48"/>
      <c r="F471" s="48"/>
      <c r="G471" s="42"/>
      <c r="H471" s="41">
        <f>IF(F471=0,0,50/F471)</f>
        <v>0</v>
      </c>
    </row>
    <row r="472" spans="1:8" ht="15.75" thickBot="1" x14ac:dyDescent="0.3">
      <c r="A472" s="358"/>
      <c r="B472" s="375"/>
      <c r="C472" s="48"/>
      <c r="D472" s="48"/>
      <c r="E472" s="48"/>
      <c r="F472" s="48"/>
      <c r="G472" s="42"/>
      <c r="H472" s="41">
        <f>IF(F472=0,0,50/F472)</f>
        <v>0</v>
      </c>
    </row>
    <row r="473" spans="1:8" ht="15.75" thickBot="1" x14ac:dyDescent="0.3">
      <c r="A473" s="351" t="s">
        <v>64</v>
      </c>
      <c r="B473" s="23" t="s">
        <v>65</v>
      </c>
      <c r="C473" s="24"/>
      <c r="D473" s="24"/>
      <c r="E473" s="24"/>
      <c r="F473" s="24"/>
      <c r="G473" s="24">
        <f>G474+G482</f>
        <v>0</v>
      </c>
      <c r="H473" s="60">
        <f>H474+H482</f>
        <v>0</v>
      </c>
    </row>
    <row r="474" spans="1:8" ht="15.75" thickBot="1" x14ac:dyDescent="0.3">
      <c r="A474" s="349"/>
      <c r="B474" s="373"/>
      <c r="C474" s="21" t="s">
        <v>233</v>
      </c>
      <c r="D474" s="21"/>
      <c r="E474" s="21"/>
      <c r="F474" s="22" t="s">
        <v>10</v>
      </c>
      <c r="G474" s="34">
        <f>COUNTA(C475:C481)</f>
        <v>0</v>
      </c>
      <c r="H474" s="39">
        <f>SUM(H475:H481)</f>
        <v>0</v>
      </c>
    </row>
    <row r="475" spans="1:8" x14ac:dyDescent="0.25">
      <c r="A475" s="349"/>
      <c r="B475" s="374"/>
      <c r="C475" s="29"/>
      <c r="D475" s="29"/>
      <c r="E475" s="29"/>
      <c r="F475" s="29"/>
      <c r="G475" s="22"/>
      <c r="H475" s="41">
        <f t="shared" ref="H475:H481" si="39">IF(F475=0,0,100/F475)</f>
        <v>0</v>
      </c>
    </row>
    <row r="476" spans="1:8" x14ac:dyDescent="0.25">
      <c r="A476" s="349"/>
      <c r="B476" s="374"/>
      <c r="C476" s="29"/>
      <c r="D476" s="29"/>
      <c r="E476" s="29"/>
      <c r="F476" s="29"/>
      <c r="G476" s="22"/>
      <c r="H476" s="41">
        <f t="shared" si="39"/>
        <v>0</v>
      </c>
    </row>
    <row r="477" spans="1:8" x14ac:dyDescent="0.25">
      <c r="A477" s="349"/>
      <c r="B477" s="374"/>
      <c r="C477" s="29"/>
      <c r="D477" s="29"/>
      <c r="E477" s="29"/>
      <c r="F477" s="29"/>
      <c r="G477" s="22"/>
      <c r="H477" s="41">
        <f t="shared" si="39"/>
        <v>0</v>
      </c>
    </row>
    <row r="478" spans="1:8" x14ac:dyDescent="0.25">
      <c r="A478" s="349"/>
      <c r="B478" s="374"/>
      <c r="C478" s="29"/>
      <c r="D478" s="29"/>
      <c r="E478" s="29"/>
      <c r="F478" s="29"/>
      <c r="G478" s="22"/>
      <c r="H478" s="41">
        <f t="shared" si="39"/>
        <v>0</v>
      </c>
    </row>
    <row r="479" spans="1:8" x14ac:dyDescent="0.25">
      <c r="A479" s="349"/>
      <c r="B479" s="374"/>
      <c r="C479" s="29"/>
      <c r="D479" s="29"/>
      <c r="E479" s="29"/>
      <c r="F479" s="29"/>
      <c r="G479" s="22"/>
      <c r="H479" s="41">
        <f t="shared" si="39"/>
        <v>0</v>
      </c>
    </row>
    <row r="480" spans="1:8" x14ac:dyDescent="0.25">
      <c r="A480" s="349"/>
      <c r="B480" s="374"/>
      <c r="C480" s="29"/>
      <c r="D480" s="29"/>
      <c r="E480" s="29"/>
      <c r="F480" s="29"/>
      <c r="G480" s="22"/>
      <c r="H480" s="41">
        <f t="shared" si="39"/>
        <v>0</v>
      </c>
    </row>
    <row r="481" spans="1:8" ht="15.75" thickBot="1" x14ac:dyDescent="0.3">
      <c r="A481" s="349"/>
      <c r="B481" s="374"/>
      <c r="C481" s="29"/>
      <c r="D481" s="29"/>
      <c r="E481" s="29"/>
      <c r="F481" s="29"/>
      <c r="G481" s="22"/>
      <c r="H481" s="41">
        <f t="shared" si="39"/>
        <v>0</v>
      </c>
    </row>
    <row r="482" spans="1:8" ht="15.75" thickBot="1" x14ac:dyDescent="0.3">
      <c r="A482" s="349"/>
      <c r="B482" s="374"/>
      <c r="C482" s="22" t="s">
        <v>234</v>
      </c>
      <c r="D482" s="22"/>
      <c r="E482" s="22"/>
      <c r="F482" s="22" t="s">
        <v>10</v>
      </c>
      <c r="G482" s="34">
        <f>COUNTA(C483:C486)</f>
        <v>0</v>
      </c>
      <c r="H482" s="39">
        <f>SUM(H483:H486)</f>
        <v>0</v>
      </c>
    </row>
    <row r="483" spans="1:8" x14ac:dyDescent="0.25">
      <c r="A483" s="349"/>
      <c r="B483" s="374"/>
      <c r="C483" s="29"/>
      <c r="D483" s="29"/>
      <c r="E483" s="29"/>
      <c r="F483" s="29"/>
      <c r="G483" s="22"/>
      <c r="H483" s="41">
        <f>IF(F483=0,0,200/F483)</f>
        <v>0</v>
      </c>
    </row>
    <row r="484" spans="1:8" x14ac:dyDescent="0.25">
      <c r="A484" s="349"/>
      <c r="B484" s="375"/>
      <c r="C484" s="48"/>
      <c r="D484" s="48"/>
      <c r="E484" s="48"/>
      <c r="F484" s="48"/>
      <c r="G484" s="42"/>
      <c r="H484" s="41">
        <f>IF(F484=0,0,200/F484)</f>
        <v>0</v>
      </c>
    </row>
    <row r="485" spans="1:8" x14ac:dyDescent="0.25">
      <c r="A485" s="349"/>
      <c r="B485" s="375"/>
      <c r="C485" s="48"/>
      <c r="D485" s="48"/>
      <c r="E485" s="48"/>
      <c r="F485" s="48"/>
      <c r="G485" s="42"/>
      <c r="H485" s="41">
        <f>IF(F485=0,0,200/F485)</f>
        <v>0</v>
      </c>
    </row>
    <row r="486" spans="1:8" ht="15.75" thickBot="1" x14ac:dyDescent="0.3">
      <c r="A486" s="358"/>
      <c r="B486" s="375"/>
      <c r="C486" s="48"/>
      <c r="D486" s="48"/>
      <c r="E486" s="48"/>
      <c r="F486" s="48"/>
      <c r="G486" s="42"/>
      <c r="H486" s="41">
        <f>IF(F486=0,0,200/F486)</f>
        <v>0</v>
      </c>
    </row>
    <row r="487" spans="1:8" ht="15.75" thickBot="1" x14ac:dyDescent="0.3">
      <c r="A487" s="351" t="s">
        <v>67</v>
      </c>
      <c r="B487" s="23" t="s">
        <v>68</v>
      </c>
      <c r="C487" s="24"/>
      <c r="D487" s="24"/>
      <c r="E487" s="24"/>
      <c r="F487" s="24"/>
      <c r="G487" s="24">
        <f>G489+G494</f>
        <v>0</v>
      </c>
      <c r="H487" s="60">
        <f>H488</f>
        <v>0</v>
      </c>
    </row>
    <row r="488" spans="1:8" ht="15.75" thickBot="1" x14ac:dyDescent="0.3">
      <c r="A488" s="349"/>
      <c r="B488" s="374"/>
      <c r="C488" s="22" t="s">
        <v>110</v>
      </c>
      <c r="D488" s="22"/>
      <c r="E488" s="22"/>
      <c r="F488" s="22"/>
      <c r="G488" s="34">
        <f>G489+G494</f>
        <v>0</v>
      </c>
      <c r="H488" s="197">
        <f>H489+H494</f>
        <v>0</v>
      </c>
    </row>
    <row r="489" spans="1:8" ht="15.75" thickBot="1" x14ac:dyDescent="0.3">
      <c r="A489" s="349"/>
      <c r="B489" s="374"/>
      <c r="C489" s="22" t="s">
        <v>244</v>
      </c>
      <c r="D489" s="22"/>
      <c r="E489" s="22"/>
      <c r="F489" s="22" t="s">
        <v>10</v>
      </c>
      <c r="G489" s="34">
        <f>COUNTA(C490:C493)</f>
        <v>0</v>
      </c>
      <c r="H489" s="39">
        <f>SUM(H490:H493)</f>
        <v>0</v>
      </c>
    </row>
    <row r="490" spans="1:8" x14ac:dyDescent="0.25">
      <c r="A490" s="349"/>
      <c r="B490" s="374"/>
      <c r="C490" s="29"/>
      <c r="D490" s="29"/>
      <c r="E490" s="29"/>
      <c r="F490" s="29"/>
      <c r="G490" s="22"/>
      <c r="H490" s="41">
        <f>IF(F490=0,0,200/F490)</f>
        <v>0</v>
      </c>
    </row>
    <row r="491" spans="1:8" x14ac:dyDescent="0.25">
      <c r="A491" s="349"/>
      <c r="B491" s="374"/>
      <c r="C491" s="29"/>
      <c r="D491" s="29"/>
      <c r="E491" s="29"/>
      <c r="F491" s="29"/>
      <c r="G491" s="22"/>
      <c r="H491" s="41">
        <f>IF(F491=0,0,200/F491)</f>
        <v>0</v>
      </c>
    </row>
    <row r="492" spans="1:8" x14ac:dyDescent="0.25">
      <c r="A492" s="349"/>
      <c r="B492" s="374"/>
      <c r="C492" s="29"/>
      <c r="D492" s="29"/>
      <c r="E492" s="29"/>
      <c r="F492" s="29"/>
      <c r="G492" s="22"/>
      <c r="H492" s="41">
        <f>IF(F492=0,0,200/F492)</f>
        <v>0</v>
      </c>
    </row>
    <row r="493" spans="1:8" ht="15.75" thickBot="1" x14ac:dyDescent="0.3">
      <c r="A493" s="349"/>
      <c r="B493" s="374"/>
      <c r="C493" s="29"/>
      <c r="D493" s="29"/>
      <c r="E493" s="29"/>
      <c r="F493" s="29"/>
      <c r="G493" s="22"/>
      <c r="H493" s="41">
        <f>IF(F493=0,0,200/F493)</f>
        <v>0</v>
      </c>
    </row>
    <row r="494" spans="1:8" ht="15.75" thickBot="1" x14ac:dyDescent="0.3">
      <c r="A494" s="349"/>
      <c r="B494" s="374"/>
      <c r="C494" s="22" t="s">
        <v>245</v>
      </c>
      <c r="D494" s="22"/>
      <c r="E494" s="22"/>
      <c r="F494" s="22" t="s">
        <v>10</v>
      </c>
      <c r="G494" s="34">
        <f>COUNTA(C495:C498)</f>
        <v>0</v>
      </c>
      <c r="H494" s="39">
        <f>SUM(H495:H498)</f>
        <v>0</v>
      </c>
    </row>
    <row r="495" spans="1:8" x14ac:dyDescent="0.25">
      <c r="A495" s="349"/>
      <c r="B495" s="374"/>
      <c r="C495" s="29"/>
      <c r="D495" s="29"/>
      <c r="E495" s="29"/>
      <c r="F495" s="29"/>
      <c r="G495" s="22"/>
      <c r="H495" s="41">
        <f>IF(F495=0,0,300/F495)</f>
        <v>0</v>
      </c>
    </row>
    <row r="496" spans="1:8" x14ac:dyDescent="0.25">
      <c r="A496" s="349"/>
      <c r="B496" s="375"/>
      <c r="C496" s="48"/>
      <c r="D496" s="48"/>
      <c r="E496" s="48"/>
      <c r="F496" s="48"/>
      <c r="G496" s="42"/>
      <c r="H496" s="41">
        <f>IF(F496=0,0,300/F496)</f>
        <v>0</v>
      </c>
    </row>
    <row r="497" spans="1:11" x14ac:dyDescent="0.25">
      <c r="A497" s="349"/>
      <c r="B497" s="375"/>
      <c r="C497" s="48"/>
      <c r="D497" s="48"/>
      <c r="E497" s="48"/>
      <c r="F497" s="48"/>
      <c r="G497" s="42"/>
      <c r="H497" s="41">
        <f>IF(F497=0,0,300/F497)</f>
        <v>0</v>
      </c>
    </row>
    <row r="498" spans="1:11" ht="15.75" thickBot="1" x14ac:dyDescent="0.3">
      <c r="A498" s="350"/>
      <c r="B498" s="392"/>
      <c r="C498" s="198"/>
      <c r="D498" s="198"/>
      <c r="E498" s="198"/>
      <c r="F498" s="198"/>
      <c r="G498" s="53"/>
      <c r="H498" s="199">
        <f>IF(F498=0,0,300/F498)</f>
        <v>0</v>
      </c>
    </row>
    <row r="499" spans="1:11" ht="15.75" thickBot="1" x14ac:dyDescent="0.3">
      <c r="B499" s="200"/>
    </row>
    <row r="500" spans="1:11" ht="32.25" thickBot="1" x14ac:dyDescent="0.3">
      <c r="C500" s="275" t="s">
        <v>422</v>
      </c>
      <c r="D500" s="276" t="s">
        <v>235</v>
      </c>
      <c r="E500" s="276">
        <f>E501+E516+E535</f>
        <v>0</v>
      </c>
      <c r="F500" s="277"/>
      <c r="G500" s="278">
        <f>G501+G516+G535</f>
        <v>0</v>
      </c>
      <c r="H500" s="36"/>
    </row>
    <row r="501" spans="1:11" ht="30.75" thickBot="1" x14ac:dyDescent="0.3">
      <c r="C501" s="159" t="s">
        <v>265</v>
      </c>
      <c r="D501" s="214" t="s">
        <v>236</v>
      </c>
      <c r="E501" s="215">
        <f>COUNTA(C502:C515)</f>
        <v>0</v>
      </c>
      <c r="F501" s="216" t="s">
        <v>73</v>
      </c>
      <c r="G501" s="37">
        <f>SUM(G502:G515)</f>
        <v>0</v>
      </c>
      <c r="H501" s="36"/>
      <c r="J501" s="217" t="s">
        <v>113</v>
      </c>
      <c r="K501" s="217" t="s">
        <v>74</v>
      </c>
    </row>
    <row r="502" spans="1:11" x14ac:dyDescent="0.25">
      <c r="C502" s="29"/>
      <c r="D502" s="29"/>
      <c r="E502" s="218"/>
      <c r="F502" s="29"/>
      <c r="G502" s="41">
        <f>IF(D502=0,0,(80+20*F502)/D502)</f>
        <v>0</v>
      </c>
      <c r="H502" s="36"/>
      <c r="J502" s="192"/>
      <c r="K502" s="193">
        <f>IF(F502&lt;=0, 0,IF(F502&gt;=1,"OK","Revista cu punctaj sub 1"))</f>
        <v>0</v>
      </c>
    </row>
    <row r="503" spans="1:11" x14ac:dyDescent="0.25">
      <c r="C503" s="29"/>
      <c r="D503" s="29"/>
      <c r="E503" s="218"/>
      <c r="F503" s="29"/>
      <c r="G503" s="41">
        <f>IF(D503=0,0,(80+20*F503)/D503)</f>
        <v>0</v>
      </c>
      <c r="H503" s="36"/>
      <c r="J503" s="192"/>
      <c r="K503" s="193">
        <f t="shared" ref="K503:K515" si="40">IF(F503&lt;=0, 0,IF(F503&gt;=1,"OK","Revista cu punctaj sub 1"))</f>
        <v>0</v>
      </c>
    </row>
    <row r="504" spans="1:11" x14ac:dyDescent="0.25">
      <c r="C504" s="29"/>
      <c r="D504" s="29"/>
      <c r="E504" s="218"/>
      <c r="F504" s="29"/>
      <c r="G504" s="41">
        <f t="shared" ref="G504:G515" si="41">IF(D504=0,0,(80+20*F504)/D504)</f>
        <v>0</v>
      </c>
      <c r="H504" s="36"/>
      <c r="J504" s="192"/>
      <c r="K504" s="193">
        <f>IF(F504&lt;=0, 0,IF(F504&gt;=1,"OK","Revista cu punctaj sub 1"))</f>
        <v>0</v>
      </c>
    </row>
    <row r="505" spans="1:11" x14ac:dyDescent="0.25">
      <c r="C505" s="29"/>
      <c r="D505" s="29"/>
      <c r="E505" s="218"/>
      <c r="F505" s="29"/>
      <c r="G505" s="41">
        <f t="shared" si="41"/>
        <v>0</v>
      </c>
      <c r="H505" s="36"/>
      <c r="J505" s="192"/>
      <c r="K505" s="193">
        <f t="shared" si="40"/>
        <v>0</v>
      </c>
    </row>
    <row r="506" spans="1:11" x14ac:dyDescent="0.25">
      <c r="C506" s="29"/>
      <c r="D506" s="29"/>
      <c r="E506" s="218"/>
      <c r="F506" s="29"/>
      <c r="G506" s="41">
        <f t="shared" si="41"/>
        <v>0</v>
      </c>
      <c r="H506" s="36"/>
      <c r="J506" s="192"/>
      <c r="K506" s="193">
        <f t="shared" si="40"/>
        <v>0</v>
      </c>
    </row>
    <row r="507" spans="1:11" x14ac:dyDescent="0.25">
      <c r="C507" s="29"/>
      <c r="D507" s="29"/>
      <c r="E507" s="218"/>
      <c r="F507" s="29"/>
      <c r="G507" s="41">
        <f t="shared" si="41"/>
        <v>0</v>
      </c>
      <c r="H507" s="36"/>
      <c r="J507" s="192"/>
      <c r="K507" s="193">
        <f t="shared" si="40"/>
        <v>0</v>
      </c>
    </row>
    <row r="508" spans="1:11" x14ac:dyDescent="0.25">
      <c r="C508" s="29"/>
      <c r="D508" s="29"/>
      <c r="E508" s="218"/>
      <c r="F508" s="29"/>
      <c r="G508" s="41">
        <f t="shared" si="41"/>
        <v>0</v>
      </c>
      <c r="H508" s="36"/>
      <c r="J508" s="192"/>
      <c r="K508" s="193">
        <f t="shared" si="40"/>
        <v>0</v>
      </c>
    </row>
    <row r="509" spans="1:11" x14ac:dyDescent="0.25">
      <c r="C509" s="29"/>
      <c r="D509" s="29"/>
      <c r="E509" s="218"/>
      <c r="F509" s="29"/>
      <c r="G509" s="41">
        <f t="shared" si="41"/>
        <v>0</v>
      </c>
      <c r="H509" s="36"/>
      <c r="J509" s="192"/>
      <c r="K509" s="193">
        <f t="shared" si="40"/>
        <v>0</v>
      </c>
    </row>
    <row r="510" spans="1:11" x14ac:dyDescent="0.25">
      <c r="C510" s="29"/>
      <c r="D510" s="29"/>
      <c r="E510" s="218"/>
      <c r="F510" s="29"/>
      <c r="G510" s="41">
        <f t="shared" si="41"/>
        <v>0</v>
      </c>
      <c r="H510" s="36"/>
      <c r="J510" s="192"/>
      <c r="K510" s="193">
        <f t="shared" si="40"/>
        <v>0</v>
      </c>
    </row>
    <row r="511" spans="1:11" x14ac:dyDescent="0.25">
      <c r="C511" s="29"/>
      <c r="D511" s="29"/>
      <c r="E511" s="218"/>
      <c r="F511" s="29"/>
      <c r="G511" s="41">
        <f t="shared" si="41"/>
        <v>0</v>
      </c>
      <c r="H511" s="36"/>
      <c r="J511" s="192"/>
      <c r="K511" s="193">
        <f t="shared" si="40"/>
        <v>0</v>
      </c>
    </row>
    <row r="512" spans="1:11" x14ac:dyDescent="0.25">
      <c r="C512" s="29"/>
      <c r="D512" s="29"/>
      <c r="E512" s="218"/>
      <c r="F512" s="29"/>
      <c r="G512" s="41">
        <f t="shared" si="41"/>
        <v>0</v>
      </c>
      <c r="H512" s="36"/>
      <c r="J512" s="192"/>
      <c r="K512" s="193">
        <f t="shared" si="40"/>
        <v>0</v>
      </c>
    </row>
    <row r="513" spans="3:11" x14ac:dyDescent="0.25">
      <c r="C513" s="29"/>
      <c r="D513" s="29"/>
      <c r="E513" s="218"/>
      <c r="F513" s="29"/>
      <c r="G513" s="41">
        <f t="shared" si="41"/>
        <v>0</v>
      </c>
      <c r="H513" s="36"/>
      <c r="J513" s="192"/>
      <c r="K513" s="193">
        <f t="shared" si="40"/>
        <v>0</v>
      </c>
    </row>
    <row r="514" spans="3:11" x14ac:dyDescent="0.25">
      <c r="C514" s="29"/>
      <c r="D514" s="29"/>
      <c r="E514" s="218"/>
      <c r="F514" s="29"/>
      <c r="G514" s="41">
        <f t="shared" si="41"/>
        <v>0</v>
      </c>
      <c r="H514" s="36"/>
      <c r="J514" s="192"/>
      <c r="K514" s="193">
        <f t="shared" si="40"/>
        <v>0</v>
      </c>
    </row>
    <row r="515" spans="3:11" ht="15.75" thickBot="1" x14ac:dyDescent="0.3">
      <c r="C515" s="29"/>
      <c r="D515" s="29"/>
      <c r="E515" s="218"/>
      <c r="F515" s="29"/>
      <c r="G515" s="41">
        <f t="shared" si="41"/>
        <v>0</v>
      </c>
      <c r="H515" s="36"/>
      <c r="J515" s="192"/>
      <c r="K515" s="193">
        <f t="shared" si="40"/>
        <v>0</v>
      </c>
    </row>
    <row r="516" spans="3:11" ht="30.75" thickBot="1" x14ac:dyDescent="0.3">
      <c r="C516" s="158" t="s">
        <v>266</v>
      </c>
      <c r="D516" s="214" t="s">
        <v>236</v>
      </c>
      <c r="E516" s="215">
        <f>COUNTA(C517:C534)</f>
        <v>0</v>
      </c>
      <c r="F516" s="216" t="s">
        <v>73</v>
      </c>
      <c r="G516" s="39">
        <f>SUM(G517:G534)</f>
        <v>0</v>
      </c>
      <c r="H516" s="36"/>
      <c r="J516" s="190" t="s">
        <v>75</v>
      </c>
      <c r="K516" s="191" t="s">
        <v>74</v>
      </c>
    </row>
    <row r="517" spans="3:11" x14ac:dyDescent="0.25">
      <c r="C517" s="29"/>
      <c r="D517" s="29"/>
      <c r="E517" s="218"/>
      <c r="F517" s="29"/>
      <c r="G517" s="41">
        <f>IF(D517=0,0,(40+10*F517)/D517)</f>
        <v>0</v>
      </c>
      <c r="H517" s="36"/>
      <c r="J517" s="192"/>
      <c r="K517" s="193">
        <f>IF(F517&lt;=0, 0,IF(F517&lt;1,"OK","Revista cu punctaj peste 1"))</f>
        <v>0</v>
      </c>
    </row>
    <row r="518" spans="3:11" x14ac:dyDescent="0.25">
      <c r="C518" s="29"/>
      <c r="D518" s="29"/>
      <c r="E518" s="219"/>
      <c r="F518" s="48"/>
      <c r="G518" s="41">
        <f t="shared" ref="G518:G534" si="42">IF(D518=0,0,(40+10*F518)/D518)</f>
        <v>0</v>
      </c>
      <c r="H518" s="36"/>
      <c r="J518" s="192"/>
      <c r="K518" s="193">
        <f t="shared" ref="K518:K534" si="43">IF(F518&lt;=0, 0,IF(F518&lt;1,"OK","Revista cu punctaj peste 1"))</f>
        <v>0</v>
      </c>
    </row>
    <row r="519" spans="3:11" x14ac:dyDescent="0.25">
      <c r="C519" s="29"/>
      <c r="D519" s="29"/>
      <c r="E519" s="219"/>
      <c r="F519" s="48"/>
      <c r="G519" s="41">
        <f t="shared" si="42"/>
        <v>0</v>
      </c>
      <c r="H519" s="36"/>
      <c r="J519" s="192"/>
      <c r="K519" s="193">
        <f t="shared" si="43"/>
        <v>0</v>
      </c>
    </row>
    <row r="520" spans="3:11" x14ac:dyDescent="0.25">
      <c r="C520" s="29"/>
      <c r="D520" s="29"/>
      <c r="E520" s="219"/>
      <c r="F520" s="48"/>
      <c r="G520" s="41">
        <f>IF(D520=0,0,(40+10*F520)/D520)</f>
        <v>0</v>
      </c>
      <c r="H520" s="36"/>
      <c r="J520" s="192"/>
      <c r="K520" s="193">
        <f t="shared" si="43"/>
        <v>0</v>
      </c>
    </row>
    <row r="521" spans="3:11" x14ac:dyDescent="0.25">
      <c r="C521" s="29"/>
      <c r="D521" s="29"/>
      <c r="E521" s="218"/>
      <c r="F521" s="29"/>
      <c r="G521" s="41">
        <f t="shared" si="42"/>
        <v>0</v>
      </c>
      <c r="H521" s="36"/>
      <c r="J521" s="192"/>
      <c r="K521" s="193">
        <f>IF(F521&lt;=0, 0,IF(F521&lt;1,"OK","Revista cu punctaj peste 1"))</f>
        <v>0</v>
      </c>
    </row>
    <row r="522" spans="3:11" x14ac:dyDescent="0.25">
      <c r="C522" s="29"/>
      <c r="D522" s="29"/>
      <c r="E522" s="219"/>
      <c r="F522" s="48"/>
      <c r="G522" s="41">
        <f t="shared" si="42"/>
        <v>0</v>
      </c>
      <c r="H522" s="36"/>
      <c r="J522" s="192"/>
      <c r="K522" s="193">
        <f t="shared" si="43"/>
        <v>0</v>
      </c>
    </row>
    <row r="523" spans="3:11" x14ac:dyDescent="0.25">
      <c r="C523" s="29"/>
      <c r="D523" s="29"/>
      <c r="E523" s="219"/>
      <c r="F523" s="48"/>
      <c r="G523" s="41">
        <f t="shared" si="42"/>
        <v>0</v>
      </c>
      <c r="H523" s="36"/>
      <c r="J523" s="192"/>
      <c r="K523" s="193">
        <f t="shared" si="43"/>
        <v>0</v>
      </c>
    </row>
    <row r="524" spans="3:11" x14ac:dyDescent="0.25">
      <c r="C524" s="29"/>
      <c r="D524" s="29"/>
      <c r="E524" s="219"/>
      <c r="F524" s="48"/>
      <c r="G524" s="41">
        <f t="shared" si="42"/>
        <v>0</v>
      </c>
      <c r="H524" s="36"/>
      <c r="J524" s="192"/>
      <c r="K524" s="193">
        <f t="shared" si="43"/>
        <v>0</v>
      </c>
    </row>
    <row r="525" spans="3:11" x14ac:dyDescent="0.25">
      <c r="C525" s="29"/>
      <c r="D525" s="29"/>
      <c r="E525" s="219"/>
      <c r="F525" s="48"/>
      <c r="G525" s="41">
        <f t="shared" si="42"/>
        <v>0</v>
      </c>
      <c r="H525" s="36"/>
      <c r="J525" s="192"/>
      <c r="K525" s="193">
        <f t="shared" si="43"/>
        <v>0</v>
      </c>
    </row>
    <row r="526" spans="3:11" x14ac:dyDescent="0.25">
      <c r="C526" s="29"/>
      <c r="D526" s="29"/>
      <c r="E526" s="219"/>
      <c r="F526" s="48"/>
      <c r="G526" s="41">
        <f t="shared" si="42"/>
        <v>0</v>
      </c>
      <c r="H526" s="36"/>
      <c r="J526" s="192"/>
      <c r="K526" s="193">
        <f t="shared" si="43"/>
        <v>0</v>
      </c>
    </row>
    <row r="527" spans="3:11" x14ac:dyDescent="0.25">
      <c r="C527" s="29"/>
      <c r="D527" s="29"/>
      <c r="E527" s="219"/>
      <c r="F527" s="48"/>
      <c r="G527" s="41">
        <f t="shared" si="42"/>
        <v>0</v>
      </c>
      <c r="H527" s="36"/>
      <c r="J527" s="192"/>
      <c r="K527" s="193">
        <f t="shared" si="43"/>
        <v>0</v>
      </c>
    </row>
    <row r="528" spans="3:11" x14ac:dyDescent="0.25">
      <c r="C528" s="29"/>
      <c r="D528" s="29"/>
      <c r="E528" s="219"/>
      <c r="F528" s="48"/>
      <c r="G528" s="41">
        <f t="shared" si="42"/>
        <v>0</v>
      </c>
      <c r="H528" s="36"/>
      <c r="J528" s="192"/>
      <c r="K528" s="193">
        <f t="shared" si="43"/>
        <v>0</v>
      </c>
    </row>
    <row r="529" spans="3:11" x14ac:dyDescent="0.25">
      <c r="C529" s="29"/>
      <c r="D529" s="29"/>
      <c r="E529" s="219"/>
      <c r="F529" s="48"/>
      <c r="G529" s="41">
        <f t="shared" si="42"/>
        <v>0</v>
      </c>
      <c r="H529" s="36"/>
      <c r="J529" s="192"/>
      <c r="K529" s="193">
        <f t="shared" si="43"/>
        <v>0</v>
      </c>
    </row>
    <row r="530" spans="3:11" x14ac:dyDescent="0.25">
      <c r="C530" s="29"/>
      <c r="D530" s="29"/>
      <c r="E530" s="219"/>
      <c r="F530" s="48"/>
      <c r="G530" s="41">
        <f>IF(D530=0,0,(40+10*F530)/D530)</f>
        <v>0</v>
      </c>
      <c r="H530" s="36"/>
      <c r="J530" s="192"/>
      <c r="K530" s="193">
        <f t="shared" si="43"/>
        <v>0</v>
      </c>
    </row>
    <row r="531" spans="3:11" x14ac:dyDescent="0.25">
      <c r="C531" s="29"/>
      <c r="D531" s="29"/>
      <c r="E531" s="219"/>
      <c r="F531" s="48"/>
      <c r="G531" s="41">
        <f t="shared" si="42"/>
        <v>0</v>
      </c>
      <c r="H531" s="36"/>
      <c r="J531" s="192"/>
      <c r="K531" s="193">
        <f t="shared" si="43"/>
        <v>0</v>
      </c>
    </row>
    <row r="532" spans="3:11" x14ac:dyDescent="0.25">
      <c r="C532" s="29"/>
      <c r="D532" s="29"/>
      <c r="E532" s="219"/>
      <c r="F532" s="48"/>
      <c r="G532" s="41">
        <f t="shared" si="42"/>
        <v>0</v>
      </c>
      <c r="H532" s="36"/>
      <c r="J532" s="192"/>
      <c r="K532" s="193">
        <f t="shared" si="43"/>
        <v>0</v>
      </c>
    </row>
    <row r="533" spans="3:11" x14ac:dyDescent="0.25">
      <c r="C533" s="29"/>
      <c r="D533" s="29"/>
      <c r="E533" s="219"/>
      <c r="F533" s="48"/>
      <c r="G533" s="41">
        <f t="shared" si="42"/>
        <v>0</v>
      </c>
      <c r="H533" s="36"/>
      <c r="J533" s="192"/>
      <c r="K533" s="193">
        <f t="shared" si="43"/>
        <v>0</v>
      </c>
    </row>
    <row r="534" spans="3:11" ht="15.75" thickBot="1" x14ac:dyDescent="0.3">
      <c r="C534" s="29"/>
      <c r="D534" s="29"/>
      <c r="E534" s="219"/>
      <c r="F534" s="48"/>
      <c r="G534" s="41">
        <f t="shared" si="42"/>
        <v>0</v>
      </c>
      <c r="H534" s="36"/>
      <c r="J534" s="192"/>
      <c r="K534" s="193">
        <f t="shared" si="43"/>
        <v>0</v>
      </c>
    </row>
    <row r="535" spans="3:11" ht="30.75" thickBot="1" x14ac:dyDescent="0.3">
      <c r="C535" s="157" t="s">
        <v>237</v>
      </c>
      <c r="D535" s="214" t="s">
        <v>236</v>
      </c>
      <c r="E535" s="220">
        <f>COUNTA(C536:C547)</f>
        <v>0</v>
      </c>
      <c r="F535" s="213"/>
      <c r="G535" s="39">
        <f>SUM(G536:G547)</f>
        <v>0</v>
      </c>
      <c r="H535" s="36"/>
    </row>
    <row r="536" spans="3:11" x14ac:dyDescent="0.25">
      <c r="C536" s="29"/>
      <c r="D536" s="29"/>
      <c r="E536" s="219"/>
      <c r="F536" s="48"/>
      <c r="G536" s="41">
        <f>IF(D536=0,0,20/D536)</f>
        <v>0</v>
      </c>
      <c r="H536" s="36"/>
    </row>
    <row r="537" spans="3:11" x14ac:dyDescent="0.25">
      <c r="C537" s="29"/>
      <c r="D537" s="29"/>
      <c r="E537" s="219"/>
      <c r="F537" s="48"/>
      <c r="G537" s="41">
        <f>IF(D537=0,0,20/D537)</f>
        <v>0</v>
      </c>
      <c r="H537" s="36"/>
    </row>
    <row r="538" spans="3:11" x14ac:dyDescent="0.25">
      <c r="C538" s="29"/>
      <c r="D538" s="29"/>
      <c r="E538" s="219"/>
      <c r="F538" s="48"/>
      <c r="G538" s="41">
        <f>IF(D538=0,0,20/D538)</f>
        <v>0</v>
      </c>
      <c r="H538" s="36"/>
    </row>
    <row r="539" spans="3:11" x14ac:dyDescent="0.25">
      <c r="C539" s="29"/>
      <c r="D539" s="29"/>
      <c r="E539" s="219"/>
      <c r="F539" s="48"/>
      <c r="G539" s="41">
        <f t="shared" ref="G539:G545" si="44">IF(D539=0,0,20/D539)</f>
        <v>0</v>
      </c>
      <c r="H539" s="36"/>
    </row>
    <row r="540" spans="3:11" x14ac:dyDescent="0.25">
      <c r="C540" s="29"/>
      <c r="D540" s="29"/>
      <c r="E540" s="219"/>
      <c r="F540" s="48"/>
      <c r="G540" s="41">
        <f t="shared" si="44"/>
        <v>0</v>
      </c>
      <c r="H540" s="36"/>
    </row>
    <row r="541" spans="3:11" x14ac:dyDescent="0.25">
      <c r="C541" s="29"/>
      <c r="D541" s="29"/>
      <c r="E541" s="219"/>
      <c r="F541" s="48"/>
      <c r="G541" s="41">
        <f t="shared" si="44"/>
        <v>0</v>
      </c>
      <c r="H541" s="36"/>
    </row>
    <row r="542" spans="3:11" x14ac:dyDescent="0.25">
      <c r="C542" s="29"/>
      <c r="D542" s="29"/>
      <c r="E542" s="219"/>
      <c r="F542" s="48"/>
      <c r="G542" s="41">
        <f t="shared" si="44"/>
        <v>0</v>
      </c>
      <c r="H542" s="36"/>
    </row>
    <row r="543" spans="3:11" x14ac:dyDescent="0.25">
      <c r="C543" s="29"/>
      <c r="D543" s="29"/>
      <c r="E543" s="219"/>
      <c r="F543" s="48"/>
      <c r="G543" s="41">
        <f t="shared" si="44"/>
        <v>0</v>
      </c>
      <c r="H543" s="36"/>
    </row>
    <row r="544" spans="3:11" x14ac:dyDescent="0.25">
      <c r="C544" s="29"/>
      <c r="D544" s="29"/>
      <c r="E544" s="219"/>
      <c r="F544" s="48"/>
      <c r="G544" s="41">
        <f t="shared" si="44"/>
        <v>0</v>
      </c>
      <c r="H544" s="36"/>
    </row>
    <row r="545" spans="3:8" x14ac:dyDescent="0.25">
      <c r="C545" s="29"/>
      <c r="D545" s="29"/>
      <c r="E545" s="219"/>
      <c r="F545" s="48"/>
      <c r="G545" s="41">
        <f t="shared" si="44"/>
        <v>0</v>
      </c>
      <c r="H545" s="36"/>
    </row>
    <row r="546" spans="3:8" x14ac:dyDescent="0.25">
      <c r="C546" s="29"/>
      <c r="D546" s="29"/>
      <c r="E546" s="29"/>
      <c r="F546" s="29"/>
      <c r="G546" s="52">
        <f>IF(D546=0,0,20/D546)</f>
        <v>0</v>
      </c>
      <c r="H546" s="36"/>
    </row>
    <row r="547" spans="3:8" x14ac:dyDescent="0.25">
      <c r="C547" s="29"/>
      <c r="D547" s="29"/>
      <c r="E547" s="29"/>
      <c r="F547" s="29"/>
      <c r="G547" s="52">
        <f>IF(D547=0,0,20/D547)</f>
        <v>0</v>
      </c>
      <c r="H547" s="36"/>
    </row>
  </sheetData>
  <sheetProtection password="CBBD" sheet="1" objects="1" scenarios="1" formatCells="0" formatColumns="0" formatRows="0" insertRows="0"/>
  <mergeCells count="52">
    <mergeCell ref="A104:A156"/>
    <mergeCell ref="B105:B156"/>
    <mergeCell ref="A60:A61"/>
    <mergeCell ref="A62:C62"/>
    <mergeCell ref="A79:A103"/>
    <mergeCell ref="B80:B103"/>
    <mergeCell ref="A69:C69"/>
    <mergeCell ref="A70:A77"/>
    <mergeCell ref="B70:B77"/>
    <mergeCell ref="A78:D78"/>
    <mergeCell ref="A473:A486"/>
    <mergeCell ref="B474:B486"/>
    <mergeCell ref="A487:A498"/>
    <mergeCell ref="B488:B498"/>
    <mergeCell ref="A425:A456"/>
    <mergeCell ref="A457:A472"/>
    <mergeCell ref="B458:B472"/>
    <mergeCell ref="B426:B428"/>
    <mergeCell ref="B429:B431"/>
    <mergeCell ref="B438:B440"/>
    <mergeCell ref="B441:B444"/>
    <mergeCell ref="B448:B450"/>
    <mergeCell ref="B451:B453"/>
    <mergeCell ref="B454:B456"/>
    <mergeCell ref="B432:B434"/>
    <mergeCell ref="B435:B437"/>
    <mergeCell ref="A11:B11"/>
    <mergeCell ref="B60:B61"/>
    <mergeCell ref="A59:C59"/>
    <mergeCell ref="A14:H14"/>
    <mergeCell ref="A15:A58"/>
    <mergeCell ref="B16:B58"/>
    <mergeCell ref="A12:G12"/>
    <mergeCell ref="A13:G13"/>
    <mergeCell ref="A424:E424"/>
    <mergeCell ref="B445:B447"/>
    <mergeCell ref="B297:B326"/>
    <mergeCell ref="A157:A357"/>
    <mergeCell ref="B158:B188"/>
    <mergeCell ref="B190:B217"/>
    <mergeCell ref="B218:B248"/>
    <mergeCell ref="B249:B296"/>
    <mergeCell ref="B327:B357"/>
    <mergeCell ref="B359:B393"/>
    <mergeCell ref="A394:A423"/>
    <mergeCell ref="B395:B423"/>
    <mergeCell ref="A358:A393"/>
    <mergeCell ref="A1:H1"/>
    <mergeCell ref="A3:H3"/>
    <mergeCell ref="A4:H4"/>
    <mergeCell ref="A6:H6"/>
    <mergeCell ref="A7:H7"/>
  </mergeCells>
  <conditionalFormatting sqref="K252:K275">
    <cfRule type="containsText" dxfId="19" priority="15" stopIfTrue="1" operator="containsText" text="Revista cu punctaj sub 1">
      <formula>NOT(ISERROR(SEARCH("Revista cu punctaj sub 1",K252)))</formula>
    </cfRule>
    <cfRule type="containsText" dxfId="18" priority="16" stopIfTrue="1" operator="containsText" text="OK">
      <formula>NOT(ISERROR(SEARCH("OK",K252)))</formula>
    </cfRule>
  </conditionalFormatting>
  <conditionalFormatting sqref="K221:K238">
    <cfRule type="containsText" dxfId="17" priority="13" stopIfTrue="1" operator="containsText" text="Revista cu punctaj peste 1">
      <formula>NOT(ISERROR(SEARCH("Revista cu punctaj peste 1",K221)))</formula>
    </cfRule>
    <cfRule type="containsText" dxfId="16" priority="14" stopIfTrue="1" operator="containsText" text="OK">
      <formula>NOT(ISERROR(SEARCH("OK",K221)))</formula>
    </cfRule>
  </conditionalFormatting>
  <conditionalFormatting sqref="K502:K515">
    <cfRule type="containsText" dxfId="15" priority="1" stopIfTrue="1" operator="containsText" text="Revista cu punctaj sub 1">
      <formula>NOT(ISERROR(SEARCH("Revista cu punctaj sub 1",K502)))</formula>
    </cfRule>
    <cfRule type="containsText" dxfId="14" priority="2" stopIfTrue="1" operator="containsText" text="OK">
      <formula>NOT(ISERROR(SEARCH("OK",K502)))</formula>
    </cfRule>
  </conditionalFormatting>
  <conditionalFormatting sqref="J517:J534">
    <cfRule type="containsText" dxfId="13" priority="7" stopIfTrue="1" operator="containsText" text="Revista cu punctaj peste 1">
      <formula>NOT(ISERROR(SEARCH("Revista cu punctaj peste 1",J517)))</formula>
    </cfRule>
    <cfRule type="containsText" dxfId="12" priority="8" stopIfTrue="1" operator="containsText" text="OK">
      <formula>NOT(ISERROR(SEARCH("OK",J517)))</formula>
    </cfRule>
  </conditionalFormatting>
  <conditionalFormatting sqref="J502:J515">
    <cfRule type="containsText" dxfId="11" priority="5" stopIfTrue="1" operator="containsText" text="Revista cu punctaj sub 1">
      <formula>NOT(ISERROR(SEARCH("Revista cu punctaj sub 1",J502)))</formula>
    </cfRule>
    <cfRule type="containsText" dxfId="10" priority="6" stopIfTrue="1" operator="containsText" text="OK">
      <formula>NOT(ISERROR(SEARCH("OK",J502)))</formula>
    </cfRule>
  </conditionalFormatting>
  <conditionalFormatting sqref="K517:K534">
    <cfRule type="containsText" dxfId="9" priority="3" stopIfTrue="1" operator="containsText" text="Revista cu punctaj peste 1">
      <formula>NOT(ISERROR(SEARCH("Revista cu punctaj peste 1",K517)))</formula>
    </cfRule>
    <cfRule type="containsText" dxfId="8" priority="4" stopIfTrue="1" operator="containsText" text="OK">
      <formula>NOT(ISERROR(SEARCH("OK",K517)))</formula>
    </cfRule>
  </conditionalFormatting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workbookViewId="0">
      <selection activeCell="G7" sqref="G7"/>
    </sheetView>
  </sheetViews>
  <sheetFormatPr defaultRowHeight="15" x14ac:dyDescent="0.25"/>
  <cols>
    <col min="1" max="1" width="64.28515625" style="36" customWidth="1"/>
    <col min="2" max="2" width="11.140625" style="36" customWidth="1"/>
    <col min="3" max="3" width="7.5703125" style="36" customWidth="1"/>
    <col min="4" max="4" width="8.42578125" style="36" bestFit="1" customWidth="1"/>
    <col min="5" max="5" width="10.140625" style="169" customWidth="1"/>
    <col min="6" max="6" width="9.140625" style="36"/>
    <col min="7" max="7" width="18.85546875" style="36" bestFit="1" customWidth="1"/>
    <col min="8" max="8" width="23.5703125" style="36" bestFit="1" customWidth="1"/>
    <col min="9" max="16384" width="9.140625" style="36"/>
  </cols>
  <sheetData>
    <row r="1" spans="1:7" ht="15.75" x14ac:dyDescent="0.25">
      <c r="A1" s="338" t="str">
        <f>'fisa word'!A1:C1</f>
        <v>UNIVERSITATEA PENTRU STIINTELE VIETII "ION IONESCU DE LA BRAD" IASI</v>
      </c>
      <c r="B1" s="338"/>
      <c r="C1" s="338"/>
      <c r="D1" s="338"/>
      <c r="E1" s="338"/>
    </row>
    <row r="2" spans="1:7" ht="15.75" x14ac:dyDescent="0.25">
      <c r="A2" s="338"/>
      <c r="B2" s="338"/>
      <c r="C2" s="338"/>
      <c r="D2" s="338"/>
      <c r="E2" s="338"/>
    </row>
    <row r="3" spans="1:7" ht="15.75" x14ac:dyDescent="0.25">
      <c r="A3" s="339">
        <f>'fisa word'!A3:C3</f>
        <v>0</v>
      </c>
      <c r="B3" s="339"/>
      <c r="C3" s="339"/>
      <c r="D3" s="339"/>
      <c r="E3" s="339"/>
    </row>
    <row r="4" spans="1:7" ht="15.75" x14ac:dyDescent="0.25">
      <c r="A4" s="339">
        <f>'fisa word'!A4:C4</f>
        <v>0</v>
      </c>
      <c r="B4" s="339"/>
      <c r="C4" s="339"/>
      <c r="D4" s="339"/>
      <c r="E4" s="339"/>
    </row>
    <row r="5" spans="1:7" ht="15.75" customHeight="1" x14ac:dyDescent="0.25">
      <c r="A5" s="404"/>
      <c r="B5" s="404"/>
      <c r="C5" s="404"/>
      <c r="D5" s="404"/>
      <c r="E5" s="404"/>
    </row>
    <row r="6" spans="1:7" ht="15.75" customHeight="1" x14ac:dyDescent="0.25">
      <c r="A6" s="405" t="str">
        <f>'fisa word'!A6:C6</f>
        <v>NUME PRENUME</v>
      </c>
      <c r="B6" s="405"/>
      <c r="C6" s="405"/>
      <c r="D6" s="405"/>
      <c r="E6" s="405"/>
    </row>
    <row r="7" spans="1:7" ht="15.75" x14ac:dyDescent="0.25">
      <c r="A7" s="406">
        <f>'fisa word'!A7:C7</f>
        <v>0</v>
      </c>
      <c r="B7" s="406"/>
      <c r="C7" s="406"/>
      <c r="D7" s="406"/>
      <c r="E7" s="406"/>
    </row>
    <row r="8" spans="1:7" ht="19.5" thickBot="1" x14ac:dyDescent="0.3">
      <c r="A8" s="407"/>
      <c r="B8" s="407"/>
      <c r="C8" s="407"/>
      <c r="D8" s="407"/>
      <c r="E8" s="407"/>
    </row>
    <row r="9" spans="1:7" ht="15.75" thickBot="1" x14ac:dyDescent="0.3">
      <c r="A9" s="201" t="s">
        <v>0</v>
      </c>
      <c r="B9" s="202">
        <f>'fisa word'!H9</f>
        <v>5</v>
      </c>
      <c r="C9" s="203" t="s">
        <v>1</v>
      </c>
    </row>
    <row r="10" spans="1:7" x14ac:dyDescent="0.25">
      <c r="A10" s="164"/>
      <c r="B10" s="164"/>
      <c r="C10" s="164"/>
      <c r="D10" s="164"/>
      <c r="E10" s="165"/>
    </row>
    <row r="11" spans="1:7" ht="32.25" thickBot="1" x14ac:dyDescent="0.3">
      <c r="A11" s="204" t="s">
        <v>111</v>
      </c>
      <c r="B11" s="205"/>
      <c r="C11" s="167" t="s">
        <v>10</v>
      </c>
      <c r="D11" s="204" t="s">
        <v>8</v>
      </c>
      <c r="E11" s="206" t="s">
        <v>11</v>
      </c>
    </row>
    <row r="12" spans="1:7" ht="19.5" thickBot="1" x14ac:dyDescent="0.35">
      <c r="A12" s="71" t="s">
        <v>427</v>
      </c>
      <c r="B12" s="207"/>
      <c r="C12" s="207"/>
      <c r="D12" s="24"/>
      <c r="E12" s="78">
        <f>20*(E13+E26+E39+E52+E77+E114+E81)/100</f>
        <v>0</v>
      </c>
    </row>
    <row r="13" spans="1:7" ht="15.75" customHeight="1" thickBot="1" x14ac:dyDescent="0.3">
      <c r="A13" s="72" t="s">
        <v>423</v>
      </c>
      <c r="B13" s="28" t="s">
        <v>235</v>
      </c>
      <c r="C13" s="49"/>
      <c r="D13" s="24">
        <f>D14+D18+D22</f>
        <v>0</v>
      </c>
      <c r="E13" s="60">
        <f>E14+E18+E22</f>
        <v>0</v>
      </c>
    </row>
    <row r="14" spans="1:7" ht="15.75" thickBot="1" x14ac:dyDescent="0.3">
      <c r="A14" s="161" t="s">
        <v>446</v>
      </c>
      <c r="B14" s="21" t="s">
        <v>76</v>
      </c>
      <c r="C14" s="208"/>
      <c r="D14" s="34">
        <f>COUNTA(A15:A17)</f>
        <v>0</v>
      </c>
      <c r="E14" s="39">
        <f>SUM(E15:E17)</f>
        <v>0</v>
      </c>
      <c r="G14" s="192" t="s">
        <v>126</v>
      </c>
    </row>
    <row r="15" spans="1:7" x14ac:dyDescent="0.25">
      <c r="A15" s="29"/>
      <c r="B15" s="29"/>
      <c r="C15" s="209"/>
      <c r="D15" s="22"/>
      <c r="E15" s="41">
        <f>IF(A15=0,0,150*B15)</f>
        <v>0</v>
      </c>
      <c r="G15" s="192">
        <f>IF(B15=0,0,IF(AND(B15&gt;0,B15&lt;=5),"OK","trebuie maxim 5 ani"))</f>
        <v>0</v>
      </c>
    </row>
    <row r="16" spans="1:7" x14ac:dyDescent="0.25">
      <c r="A16" s="29"/>
      <c r="B16" s="29"/>
      <c r="C16" s="209"/>
      <c r="D16" s="22"/>
      <c r="E16" s="41">
        <f>IF(A16=0,0,150*B16)</f>
        <v>0</v>
      </c>
      <c r="G16" s="192">
        <f>IF(B16=0,0,IF(AND(B16&gt;0,B16&lt;=5),"OK","trebuie maxim 5 ani"))</f>
        <v>0</v>
      </c>
    </row>
    <row r="17" spans="1:8" ht="15.75" thickBot="1" x14ac:dyDescent="0.3">
      <c r="A17" s="29"/>
      <c r="B17" s="29"/>
      <c r="C17" s="209"/>
      <c r="D17" s="22"/>
      <c r="E17" s="41">
        <f>IF(A17=0,0,150*B17)</f>
        <v>0</v>
      </c>
      <c r="G17" s="192">
        <f>IF(B17=0,0,IF(AND(B17&gt;0,B17&lt;=5),"OK","trebuie maxim 5 ani"))</f>
        <v>0</v>
      </c>
    </row>
    <row r="18" spans="1:8" ht="16.5" thickBot="1" x14ac:dyDescent="0.3">
      <c r="A18" s="157" t="s">
        <v>294</v>
      </c>
      <c r="B18" s="22" t="s">
        <v>76</v>
      </c>
      <c r="C18" s="209"/>
      <c r="D18" s="34">
        <f>COUNTA(A19:A21)</f>
        <v>0</v>
      </c>
      <c r="E18" s="39">
        <f>SUM(E19:E21)</f>
        <v>0</v>
      </c>
      <c r="G18" s="210"/>
    </row>
    <row r="19" spans="1:8" x14ac:dyDescent="0.25">
      <c r="A19" s="29"/>
      <c r="B19" s="29"/>
      <c r="C19" s="209"/>
      <c r="D19" s="22"/>
      <c r="E19" s="41">
        <f>IF(A19=0,0,80*B19)</f>
        <v>0</v>
      </c>
      <c r="G19" s="192">
        <f>IF(B19=0,0,IF(AND(B19&gt;0,B19&lt;=5),"OK","trebuie maxim 5 ani"))</f>
        <v>0</v>
      </c>
    </row>
    <row r="20" spans="1:8" x14ac:dyDescent="0.25">
      <c r="A20" s="29"/>
      <c r="B20" s="29"/>
      <c r="C20" s="209"/>
      <c r="D20" s="22"/>
      <c r="E20" s="41">
        <f>IF(A20=0,0,80*B20)</f>
        <v>0</v>
      </c>
      <c r="G20" s="192">
        <f>IF(B20=0,0,IF(AND(B20&gt;0,B20&lt;=5),"OK","trebuie maxim 5 ani"))</f>
        <v>0</v>
      </c>
    </row>
    <row r="21" spans="1:8" ht="15.75" thickBot="1" x14ac:dyDescent="0.3">
      <c r="A21" s="29"/>
      <c r="B21" s="29"/>
      <c r="C21" s="209"/>
      <c r="D21" s="22"/>
      <c r="E21" s="41">
        <f>IF(A21=0,0,80*B21)</f>
        <v>0</v>
      </c>
      <c r="G21" s="192">
        <f>IF(B21=0,0,IF(AND(B21&gt;0,B21&lt;=5),"OK","trebuie maxim 5 ani"))</f>
        <v>0</v>
      </c>
    </row>
    <row r="22" spans="1:8" ht="30.75" thickBot="1" x14ac:dyDescent="0.3">
      <c r="A22" s="211" t="s">
        <v>295</v>
      </c>
      <c r="B22" s="22" t="s">
        <v>76</v>
      </c>
      <c r="C22" s="209"/>
      <c r="D22" s="34">
        <f>COUNTA(A23:A25)</f>
        <v>0</v>
      </c>
      <c r="E22" s="39">
        <f>SUM(E23:E25)</f>
        <v>0</v>
      </c>
      <c r="G22" s="210"/>
    </row>
    <row r="23" spans="1:8" x14ac:dyDescent="0.25">
      <c r="A23" s="29"/>
      <c r="B23" s="29"/>
      <c r="C23" s="209"/>
      <c r="D23" s="22"/>
      <c r="E23" s="41">
        <f>IF(A23=0,0,100*B23)</f>
        <v>0</v>
      </c>
      <c r="G23" s="192">
        <f>IF(B23=0,0,IF(AND(B23&gt;0,B23&lt;=5),"OK","trebuie maxim 5 ani"))</f>
        <v>0</v>
      </c>
    </row>
    <row r="24" spans="1:8" x14ac:dyDescent="0.25">
      <c r="A24" s="29"/>
      <c r="B24" s="29"/>
      <c r="C24" s="212"/>
      <c r="D24" s="42"/>
      <c r="E24" s="41">
        <f>IF(A24=0,0,100*B24)</f>
        <v>0</v>
      </c>
      <c r="G24" s="192">
        <f>IF(B24=0,0,IF(AND(B24&gt;0,B24&lt;=5),"OK","trebuie maxim 5 ani"))</f>
        <v>0</v>
      </c>
    </row>
    <row r="25" spans="1:8" ht="15.75" thickBot="1" x14ac:dyDescent="0.3">
      <c r="A25" s="48"/>
      <c r="B25" s="48"/>
      <c r="C25" s="212"/>
      <c r="D25" s="42"/>
      <c r="E25" s="41">
        <f>IF(A25=0,0,100*B25)</f>
        <v>0</v>
      </c>
      <c r="G25" s="192">
        <f>IF(B25=0,0,IF(AND(B25&gt;0,B25&lt;=5),"OK","trebuie maxim 5 ani"))</f>
        <v>0</v>
      </c>
    </row>
    <row r="26" spans="1:8" ht="48" thickBot="1" x14ac:dyDescent="0.3">
      <c r="A26" s="75" t="s">
        <v>428</v>
      </c>
      <c r="B26" s="76" t="s">
        <v>235</v>
      </c>
      <c r="C26" s="73"/>
      <c r="D26" s="24">
        <f>D27+D33</f>
        <v>0</v>
      </c>
      <c r="E26" s="70">
        <f>E27+E33</f>
        <v>0</v>
      </c>
      <c r="G26" s="210"/>
    </row>
    <row r="27" spans="1:8" ht="17.25" customHeight="1" thickBot="1" x14ac:dyDescent="0.3">
      <c r="A27" s="161" t="s">
        <v>296</v>
      </c>
      <c r="B27" s="21" t="s">
        <v>76</v>
      </c>
      <c r="C27" s="208"/>
      <c r="D27" s="34">
        <f>COUNTA(A28:A32)</f>
        <v>0</v>
      </c>
      <c r="E27" s="39">
        <f>SUM(E28:E32)</f>
        <v>0</v>
      </c>
      <c r="G27" s="210"/>
    </row>
    <row r="28" spans="1:8" ht="15.75" x14ac:dyDescent="0.25">
      <c r="A28" s="29"/>
      <c r="B28" s="29"/>
      <c r="C28" s="209"/>
      <c r="D28" s="22"/>
      <c r="E28" s="41">
        <f>IF(A28=0,0,10*B28)</f>
        <v>0</v>
      </c>
      <c r="G28" s="192">
        <f>IF(B28=0,0,IF(AND(B28&gt;0,B28&lt;=5),"OK","trebuie maxim 5 ani"))</f>
        <v>0</v>
      </c>
      <c r="H28" s="74"/>
    </row>
    <row r="29" spans="1:8" x14ac:dyDescent="0.25">
      <c r="A29" s="29"/>
      <c r="B29" s="29"/>
      <c r="C29" s="209"/>
      <c r="D29" s="22"/>
      <c r="E29" s="41">
        <f>IF(A29=0,0,10*B29)</f>
        <v>0</v>
      </c>
      <c r="G29" s="192">
        <f>IF(B29=0,0,IF(AND(B29&gt;0,B29&lt;=5),"OK","trebuie maxim 5 ani"))</f>
        <v>0</v>
      </c>
    </row>
    <row r="30" spans="1:8" x14ac:dyDescent="0.25">
      <c r="A30" s="29"/>
      <c r="B30" s="29"/>
      <c r="C30" s="209"/>
      <c r="D30" s="22"/>
      <c r="E30" s="41">
        <f>IF(A30=0,0,10*B30)</f>
        <v>0</v>
      </c>
      <c r="G30" s="192">
        <f>IF(B30=0,0,IF(AND(B30&gt;0,B30&lt;=5),"OK","trebuie maxim 5 ani"))</f>
        <v>0</v>
      </c>
    </row>
    <row r="31" spans="1:8" x14ac:dyDescent="0.25">
      <c r="A31" s="29"/>
      <c r="B31" s="29"/>
      <c r="C31" s="209"/>
      <c r="D31" s="22"/>
      <c r="E31" s="41">
        <f>IF(A31=0,0,10*B31)</f>
        <v>0</v>
      </c>
      <c r="G31" s="192">
        <f>IF(B31=0,0,IF(AND(B31&gt;0,B31&lt;=5),"OK","trebuie maxim 5 ani"))</f>
        <v>0</v>
      </c>
    </row>
    <row r="32" spans="1:8" ht="15.75" thickBot="1" x14ac:dyDescent="0.3">
      <c r="A32" s="29"/>
      <c r="B32" s="29"/>
      <c r="C32" s="209"/>
      <c r="D32" s="22"/>
      <c r="E32" s="41">
        <f>IF(A32=0,0,10*B32)</f>
        <v>0</v>
      </c>
      <c r="G32" s="192">
        <f>IF(B32=0,0,IF(AND(B32&gt;0,B32&lt;=5),"OK","trebuie maxim 5 ani"))</f>
        <v>0</v>
      </c>
    </row>
    <row r="33" spans="1:7" ht="15.75" thickBot="1" x14ac:dyDescent="0.3">
      <c r="A33" s="157" t="s">
        <v>297</v>
      </c>
      <c r="B33" s="22" t="s">
        <v>76</v>
      </c>
      <c r="C33" s="209"/>
      <c r="D33" s="43">
        <f>COUNTA(A34:A38)</f>
        <v>0</v>
      </c>
      <c r="E33" s="39">
        <f>SUM(E34:E38)</f>
        <v>0</v>
      </c>
      <c r="G33" s="192"/>
    </row>
    <row r="34" spans="1:7" x14ac:dyDescent="0.25">
      <c r="A34" s="29"/>
      <c r="B34" s="29"/>
      <c r="C34" s="209"/>
      <c r="D34" s="22"/>
      <c r="E34" s="41">
        <f>IF(A34=0,0,20*B34)</f>
        <v>0</v>
      </c>
      <c r="G34" s="192">
        <f>IF(B34=0,0,IF(AND(B34&gt;0,B34&lt;=5),"OK","trebuie maxim 5 ani"))</f>
        <v>0</v>
      </c>
    </row>
    <row r="35" spans="1:7" x14ac:dyDescent="0.25">
      <c r="A35" s="29"/>
      <c r="B35" s="29"/>
      <c r="C35" s="212"/>
      <c r="D35" s="42"/>
      <c r="E35" s="41">
        <f>IF(A35=0,0,20*B35)</f>
        <v>0</v>
      </c>
      <c r="G35" s="192">
        <f>IF(B35=0,0,IF(AND(B35&gt;0,B35&lt;=5),"OK","trebuie maxim 5 ani"))</f>
        <v>0</v>
      </c>
    </row>
    <row r="36" spans="1:7" x14ac:dyDescent="0.25">
      <c r="A36" s="29"/>
      <c r="B36" s="29"/>
      <c r="C36" s="212"/>
      <c r="D36" s="42"/>
      <c r="E36" s="41">
        <f>IF(A36=0,0,20*B36)</f>
        <v>0</v>
      </c>
      <c r="G36" s="192">
        <f>IF(B36=0,0,IF(AND(B36&gt;0,B36&lt;=5),"OK","trebuie maxim 5 ani"))</f>
        <v>0</v>
      </c>
    </row>
    <row r="37" spans="1:7" x14ac:dyDescent="0.25">
      <c r="A37" s="29"/>
      <c r="B37" s="29"/>
      <c r="C37" s="212"/>
      <c r="D37" s="42"/>
      <c r="E37" s="41">
        <f>IF(A37=0,0,20*B37)</f>
        <v>0</v>
      </c>
      <c r="G37" s="192">
        <f>IF(B37=0,0,IF(AND(B37&gt;0,B37&lt;=5),"OK","trebuie maxim 5 ani"))</f>
        <v>0</v>
      </c>
    </row>
    <row r="38" spans="1:7" ht="15.75" thickBot="1" x14ac:dyDescent="0.3">
      <c r="A38" s="48"/>
      <c r="B38" s="48"/>
      <c r="C38" s="212"/>
      <c r="D38" s="42"/>
      <c r="E38" s="41">
        <f>IF(A38=0,0,20*B38)</f>
        <v>0</v>
      </c>
      <c r="G38" s="192">
        <f>IF(B38=0,0,IF(AND(B38&gt;0,B38&lt;=5),"OK","trebuie maxim 5 ani"))</f>
        <v>0</v>
      </c>
    </row>
    <row r="39" spans="1:7" ht="32.25" thickBot="1" x14ac:dyDescent="0.3">
      <c r="A39" s="77" t="s">
        <v>478</v>
      </c>
      <c r="B39" s="76" t="s">
        <v>235</v>
      </c>
      <c r="C39" s="72"/>
      <c r="D39" s="24">
        <f>D40+D46</f>
        <v>0</v>
      </c>
      <c r="E39" s="70">
        <f>E40+E46</f>
        <v>0</v>
      </c>
    </row>
    <row r="40" spans="1:7" ht="15.75" thickBot="1" x14ac:dyDescent="0.3">
      <c r="A40" s="161" t="s">
        <v>298</v>
      </c>
      <c r="B40" s="21"/>
      <c r="C40" s="208"/>
      <c r="D40" s="34">
        <f>COUNTA(A41:A45)</f>
        <v>0</v>
      </c>
      <c r="E40" s="39">
        <f>SUM(E41:E45)</f>
        <v>0</v>
      </c>
    </row>
    <row r="41" spans="1:7" x14ac:dyDescent="0.25">
      <c r="A41" s="29"/>
      <c r="B41" s="22"/>
      <c r="C41" s="209"/>
      <c r="D41" s="22"/>
      <c r="E41" s="41">
        <f>IF(A41=0,0,25)</f>
        <v>0</v>
      </c>
    </row>
    <row r="42" spans="1:7" x14ac:dyDescent="0.25">
      <c r="A42" s="29"/>
      <c r="B42" s="22"/>
      <c r="C42" s="209"/>
      <c r="D42" s="22"/>
      <c r="E42" s="41">
        <f>IF(A42=0,0,25)</f>
        <v>0</v>
      </c>
    </row>
    <row r="43" spans="1:7" x14ac:dyDescent="0.25">
      <c r="A43" s="29"/>
      <c r="B43" s="22"/>
      <c r="C43" s="209"/>
      <c r="D43" s="22"/>
      <c r="E43" s="41">
        <f>IF(A43=0,0,25)</f>
        <v>0</v>
      </c>
    </row>
    <row r="44" spans="1:7" x14ac:dyDescent="0.25">
      <c r="A44" s="29"/>
      <c r="B44" s="22"/>
      <c r="C44" s="209"/>
      <c r="D44" s="22"/>
      <c r="E44" s="41">
        <f>IF(A44=0,0,25)</f>
        <v>0</v>
      </c>
    </row>
    <row r="45" spans="1:7" ht="15.75" thickBot="1" x14ac:dyDescent="0.3">
      <c r="A45" s="29"/>
      <c r="B45" s="22"/>
      <c r="C45" s="209"/>
      <c r="D45" s="22"/>
      <c r="E45" s="41">
        <f>IF(A45=0,0,25)</f>
        <v>0</v>
      </c>
    </row>
    <row r="46" spans="1:7" ht="15.75" thickBot="1" x14ac:dyDescent="0.3">
      <c r="A46" s="157" t="s">
        <v>299</v>
      </c>
      <c r="B46" s="22"/>
      <c r="C46" s="209"/>
      <c r="D46" s="43">
        <f>COUNTA(A47:A51)</f>
        <v>0</v>
      </c>
      <c r="E46" s="39">
        <f>SUM(E47:E51)</f>
        <v>0</v>
      </c>
    </row>
    <row r="47" spans="1:7" x14ac:dyDescent="0.25">
      <c r="A47" s="29"/>
      <c r="B47" s="22"/>
      <c r="C47" s="209"/>
      <c r="D47" s="22"/>
      <c r="E47" s="41">
        <f>IF(A47=0,0,50)</f>
        <v>0</v>
      </c>
    </row>
    <row r="48" spans="1:7" x14ac:dyDescent="0.25">
      <c r="A48" s="29"/>
      <c r="B48" s="22"/>
      <c r="C48" s="212"/>
      <c r="D48" s="42"/>
      <c r="E48" s="41">
        <f>IF(A48=0,0,50)</f>
        <v>0</v>
      </c>
    </row>
    <row r="49" spans="1:7" x14ac:dyDescent="0.25">
      <c r="A49" s="29"/>
      <c r="B49" s="22"/>
      <c r="C49" s="212"/>
      <c r="D49" s="42"/>
      <c r="E49" s="41">
        <f>IF(A49=0,0,50)</f>
        <v>0</v>
      </c>
    </row>
    <row r="50" spans="1:7" x14ac:dyDescent="0.25">
      <c r="A50" s="29"/>
      <c r="B50" s="22"/>
      <c r="C50" s="212"/>
      <c r="D50" s="42"/>
      <c r="E50" s="41">
        <f>IF(A50=0,0,50)</f>
        <v>0</v>
      </c>
    </row>
    <row r="51" spans="1:7" ht="15.75" thickBot="1" x14ac:dyDescent="0.3">
      <c r="A51" s="48"/>
      <c r="B51" s="42"/>
      <c r="C51" s="212"/>
      <c r="D51" s="42"/>
      <c r="E51" s="41">
        <f>IF(A51=0,0,50)</f>
        <v>0</v>
      </c>
    </row>
    <row r="52" spans="1:7" ht="15.75" customHeight="1" thickBot="1" x14ac:dyDescent="0.3">
      <c r="A52" s="77" t="s">
        <v>429</v>
      </c>
      <c r="B52" s="77" t="s">
        <v>235</v>
      </c>
      <c r="C52" s="77"/>
      <c r="D52" s="24">
        <f>D53+D59+D65+D71</f>
        <v>0</v>
      </c>
      <c r="E52" s="60">
        <f>E53+E59+E65+E71</f>
        <v>0</v>
      </c>
    </row>
    <row r="53" spans="1:7" ht="29.25" customHeight="1" thickBot="1" x14ac:dyDescent="0.3">
      <c r="A53" s="236" t="s">
        <v>306</v>
      </c>
      <c r="B53" s="21" t="s">
        <v>76</v>
      </c>
      <c r="C53" s="208"/>
      <c r="D53" s="34">
        <f>COUNTA(A54:A58)</f>
        <v>0</v>
      </c>
      <c r="E53" s="39">
        <f>SUM(E54:E58)</f>
        <v>0</v>
      </c>
    </row>
    <row r="54" spans="1:7" x14ac:dyDescent="0.25">
      <c r="A54" s="29"/>
      <c r="B54" s="29"/>
      <c r="C54" s="209"/>
      <c r="D54" s="22"/>
      <c r="E54" s="41">
        <f>IF(A54=0,0,100*B54)</f>
        <v>0</v>
      </c>
      <c r="G54" s="192">
        <f>IF(B54=0,0,IF(AND(B54&gt;0,B54&lt;=5),"OK","trebuie maxim 5 ani"))</f>
        <v>0</v>
      </c>
    </row>
    <row r="55" spans="1:7" x14ac:dyDescent="0.25">
      <c r="A55" s="29"/>
      <c r="B55" s="29"/>
      <c r="C55" s="209"/>
      <c r="D55" s="22"/>
      <c r="E55" s="41">
        <f>IF(A55=0,0,100*B55)</f>
        <v>0</v>
      </c>
      <c r="G55" s="192">
        <f>IF(B55=0,0,IF(AND(B55&gt;0,B55&lt;=5),"OK","trebuie maxim 5 ani"))</f>
        <v>0</v>
      </c>
    </row>
    <row r="56" spans="1:7" x14ac:dyDescent="0.25">
      <c r="A56" s="29"/>
      <c r="B56" s="29"/>
      <c r="C56" s="209"/>
      <c r="D56" s="22"/>
      <c r="E56" s="41">
        <f>IF(A56=0,0,100*B56)</f>
        <v>0</v>
      </c>
      <c r="G56" s="192">
        <f>IF(B56=0,0,IF(AND(B56&gt;0,B56&lt;=5),"OK","trebuie maxim 5 ani"))</f>
        <v>0</v>
      </c>
    </row>
    <row r="57" spans="1:7" x14ac:dyDescent="0.25">
      <c r="A57" s="29"/>
      <c r="B57" s="29"/>
      <c r="C57" s="209"/>
      <c r="D57" s="22"/>
      <c r="E57" s="41">
        <f>IF(A57=0,0,100*B57)</f>
        <v>0</v>
      </c>
      <c r="G57" s="192">
        <f>IF(B57=0,0,IF(AND(B57&gt;0,B57&lt;=5),"OK","trebuie maxim 5 ani"))</f>
        <v>0</v>
      </c>
    </row>
    <row r="58" spans="1:7" ht="15.75" thickBot="1" x14ac:dyDescent="0.3">
      <c r="A58" s="29"/>
      <c r="B58" s="29"/>
      <c r="C58" s="209"/>
      <c r="D58" s="22"/>
      <c r="E58" s="41">
        <f>IF(A58=0,0,100*B58)</f>
        <v>0</v>
      </c>
      <c r="G58" s="192">
        <f>IF(B58=0,0,IF(AND(B58&gt;0,B58&lt;=5),"OK","trebuie maxim 5 ani"))</f>
        <v>0</v>
      </c>
    </row>
    <row r="59" spans="1:7" ht="15.75" thickBot="1" x14ac:dyDescent="0.3">
      <c r="A59" s="252" t="s">
        <v>381</v>
      </c>
      <c r="B59" s="22" t="s">
        <v>76</v>
      </c>
      <c r="C59" s="209"/>
      <c r="D59" s="43">
        <f>COUNTA(A60:A64)</f>
        <v>0</v>
      </c>
      <c r="E59" s="39">
        <f>SUM(E60:E64)</f>
        <v>0</v>
      </c>
      <c r="G59" s="210"/>
    </row>
    <row r="60" spans="1:7" x14ac:dyDescent="0.25">
      <c r="A60" s="29"/>
      <c r="B60" s="29"/>
      <c r="C60" s="209"/>
      <c r="D60" s="22"/>
      <c r="E60" s="41">
        <f>IF(A60=0,0,20*B60)</f>
        <v>0</v>
      </c>
      <c r="G60" s="192">
        <f>IF(B60=0,0,IF(AND(B60&gt;0,B60&lt;=5),"OK","trebuie maxim 5 ani"))</f>
        <v>0</v>
      </c>
    </row>
    <row r="61" spans="1:7" x14ac:dyDescent="0.25">
      <c r="A61" s="29"/>
      <c r="B61" s="29"/>
      <c r="C61" s="212"/>
      <c r="D61" s="42"/>
      <c r="E61" s="41">
        <f t="shared" ref="E61:E64" si="0">IF(A61=0,0,20*B61)</f>
        <v>0</v>
      </c>
      <c r="G61" s="192">
        <f>IF(B61=0,0,IF(AND(B61&gt;0,B61&lt;=5),"OK","trebuie maxim 5 ani"))</f>
        <v>0</v>
      </c>
    </row>
    <row r="62" spans="1:7" x14ac:dyDescent="0.25">
      <c r="A62" s="29"/>
      <c r="B62" s="29"/>
      <c r="C62" s="212"/>
      <c r="D62" s="42"/>
      <c r="E62" s="41">
        <f t="shared" si="0"/>
        <v>0</v>
      </c>
      <c r="G62" s="192">
        <f t="shared" ref="G62:G64" si="1">IF(B62=0,0,IF(AND(B62&gt;0,B62&lt;=5),"OK","trebuie maxim 5 ani"))</f>
        <v>0</v>
      </c>
    </row>
    <row r="63" spans="1:7" x14ac:dyDescent="0.25">
      <c r="A63" s="29"/>
      <c r="B63" s="29"/>
      <c r="C63" s="212"/>
      <c r="D63" s="42"/>
      <c r="E63" s="41">
        <f t="shared" si="0"/>
        <v>0</v>
      </c>
      <c r="G63" s="192">
        <f t="shared" si="1"/>
        <v>0</v>
      </c>
    </row>
    <row r="64" spans="1:7" ht="15.75" thickBot="1" x14ac:dyDescent="0.3">
      <c r="A64" s="29"/>
      <c r="B64" s="29"/>
      <c r="C64" s="212"/>
      <c r="D64" s="42"/>
      <c r="E64" s="41">
        <f t="shared" si="0"/>
        <v>0</v>
      </c>
      <c r="G64" s="192">
        <f t="shared" si="1"/>
        <v>0</v>
      </c>
    </row>
    <row r="65" spans="1:5" ht="30.75" thickBot="1" x14ac:dyDescent="0.3">
      <c r="A65" s="253" t="s">
        <v>479</v>
      </c>
      <c r="B65" s="22"/>
      <c r="C65" s="212"/>
      <c r="D65" s="213">
        <f>COUNTA(A66:A70)</f>
        <v>0</v>
      </c>
      <c r="E65" s="197">
        <f>SUM(E66:E70)</f>
        <v>0</v>
      </c>
    </row>
    <row r="66" spans="1:5" x14ac:dyDescent="0.25">
      <c r="A66" s="29"/>
      <c r="B66" s="29"/>
      <c r="C66" s="212"/>
      <c r="D66" s="42"/>
      <c r="E66" s="41">
        <f>IF(A66=0,0,10)</f>
        <v>0</v>
      </c>
    </row>
    <row r="67" spans="1:5" x14ac:dyDescent="0.25">
      <c r="A67" s="29"/>
      <c r="B67" s="29"/>
      <c r="C67" s="212"/>
      <c r="D67" s="42"/>
      <c r="E67" s="41">
        <f t="shared" ref="E67:E70" si="2">IF(A67=0,0,10)</f>
        <v>0</v>
      </c>
    </row>
    <row r="68" spans="1:5" x14ac:dyDescent="0.25">
      <c r="A68" s="29"/>
      <c r="B68" s="29"/>
      <c r="C68" s="212"/>
      <c r="D68" s="42"/>
      <c r="E68" s="41">
        <f t="shared" si="2"/>
        <v>0</v>
      </c>
    </row>
    <row r="69" spans="1:5" x14ac:dyDescent="0.25">
      <c r="A69" s="29"/>
      <c r="B69" s="29"/>
      <c r="C69" s="212"/>
      <c r="D69" s="42"/>
      <c r="E69" s="41">
        <f t="shared" si="2"/>
        <v>0</v>
      </c>
    </row>
    <row r="70" spans="1:5" ht="15.75" thickBot="1" x14ac:dyDescent="0.3">
      <c r="A70" s="29"/>
      <c r="B70" s="29"/>
      <c r="C70" s="212"/>
      <c r="D70" s="42"/>
      <c r="E70" s="41">
        <f t="shared" si="2"/>
        <v>0</v>
      </c>
    </row>
    <row r="71" spans="1:5" ht="15.75" thickBot="1" x14ac:dyDescent="0.3">
      <c r="A71" s="252" t="s">
        <v>396</v>
      </c>
      <c r="B71" s="22"/>
      <c r="C71" s="209"/>
      <c r="D71" s="43">
        <f>COUNTA(A72:A76)</f>
        <v>0</v>
      </c>
      <c r="E71" s="39">
        <f>SUM(E72:E76)</f>
        <v>0</v>
      </c>
    </row>
    <row r="72" spans="1:5" x14ac:dyDescent="0.25">
      <c r="A72" s="29"/>
      <c r="B72" s="29"/>
      <c r="C72" s="209"/>
      <c r="D72" s="22"/>
      <c r="E72" s="41">
        <f>IF(A72=0,0,20)</f>
        <v>0</v>
      </c>
    </row>
    <row r="73" spans="1:5" x14ac:dyDescent="0.25">
      <c r="A73" s="29"/>
      <c r="B73" s="29"/>
      <c r="C73" s="212"/>
      <c r="D73" s="42"/>
      <c r="E73" s="41">
        <f t="shared" ref="E73:E76" si="3">IF(A73=0,0,20)</f>
        <v>0</v>
      </c>
    </row>
    <row r="74" spans="1:5" x14ac:dyDescent="0.25">
      <c r="A74" s="29"/>
      <c r="B74" s="29"/>
      <c r="C74" s="212"/>
      <c r="D74" s="42"/>
      <c r="E74" s="41">
        <f t="shared" si="3"/>
        <v>0</v>
      </c>
    </row>
    <row r="75" spans="1:5" x14ac:dyDescent="0.25">
      <c r="A75" s="29"/>
      <c r="B75" s="29"/>
      <c r="C75" s="212"/>
      <c r="D75" s="42"/>
      <c r="E75" s="41">
        <f t="shared" si="3"/>
        <v>0</v>
      </c>
    </row>
    <row r="76" spans="1:5" ht="15.75" thickBot="1" x14ac:dyDescent="0.3">
      <c r="A76" s="29"/>
      <c r="B76" s="29"/>
      <c r="C76" s="212"/>
      <c r="D76" s="42"/>
      <c r="E76" s="41">
        <f t="shared" si="3"/>
        <v>0</v>
      </c>
    </row>
    <row r="77" spans="1:5" ht="16.5" thickBot="1" x14ac:dyDescent="0.3">
      <c r="A77" s="254" t="s">
        <v>426</v>
      </c>
      <c r="B77" s="77" t="s">
        <v>77</v>
      </c>
      <c r="C77" s="77"/>
      <c r="D77" s="24"/>
      <c r="E77" s="60">
        <f>E78+E79+E80</f>
        <v>0</v>
      </c>
    </row>
    <row r="78" spans="1:5" x14ac:dyDescent="0.25">
      <c r="A78" s="159" t="s">
        <v>300</v>
      </c>
      <c r="B78" s="180"/>
      <c r="C78" s="208"/>
      <c r="D78" s="21"/>
      <c r="E78" s="41">
        <f>B78*10</f>
        <v>0</v>
      </c>
    </row>
    <row r="79" spans="1:5" x14ac:dyDescent="0.25">
      <c r="A79" s="158" t="s">
        <v>301</v>
      </c>
      <c r="B79" s="29"/>
      <c r="C79" s="209"/>
      <c r="D79" s="22"/>
      <c r="E79" s="41">
        <f>B79*10</f>
        <v>0</v>
      </c>
    </row>
    <row r="80" spans="1:5" ht="15.75" thickBot="1" x14ac:dyDescent="0.3">
      <c r="A80" s="160" t="s">
        <v>302</v>
      </c>
      <c r="B80" s="48"/>
      <c r="C80" s="212"/>
      <c r="D80" s="42"/>
      <c r="E80" s="33">
        <f>B80*10</f>
        <v>0</v>
      </c>
    </row>
    <row r="81" spans="1:8" ht="16.5" thickBot="1" x14ac:dyDescent="0.3">
      <c r="A81" s="277" t="s">
        <v>447</v>
      </c>
      <c r="B81" s="76" t="s">
        <v>235</v>
      </c>
      <c r="C81" s="144">
        <f>C82+C95+C108</f>
        <v>0</v>
      </c>
      <c r="D81" s="24"/>
      <c r="E81" s="70">
        <f>E82+E95+E108</f>
        <v>0</v>
      </c>
    </row>
    <row r="82" spans="1:8" ht="30.75" thickBot="1" x14ac:dyDescent="0.3">
      <c r="A82" s="157" t="s">
        <v>157</v>
      </c>
      <c r="B82" s="22"/>
      <c r="C82" s="187">
        <f>COUNTA(A83:A94)</f>
        <v>0</v>
      </c>
      <c r="D82" s="216" t="s">
        <v>73</v>
      </c>
      <c r="E82" s="197">
        <f>SUM(E83:E94)</f>
        <v>0</v>
      </c>
      <c r="G82" s="221" t="s">
        <v>75</v>
      </c>
      <c r="H82" s="221" t="s">
        <v>74</v>
      </c>
    </row>
    <row r="83" spans="1:8" x14ac:dyDescent="0.25">
      <c r="A83" s="29"/>
      <c r="B83" s="29"/>
      <c r="C83" s="29"/>
      <c r="D83" s="29"/>
      <c r="E83" s="41">
        <f>IF(A83=0,0,20)</f>
        <v>0</v>
      </c>
      <c r="G83" s="192"/>
      <c r="H83" s="192">
        <f>IF(D83&lt;=0, 0,IF(D83&lt;1,"OK","Revista cu punctaj peste 1"))</f>
        <v>0</v>
      </c>
    </row>
    <row r="84" spans="1:8" x14ac:dyDescent="0.25">
      <c r="A84" s="29"/>
      <c r="B84" s="29"/>
      <c r="C84" s="29"/>
      <c r="D84" s="29"/>
      <c r="E84" s="41">
        <f>IF(A84=0,0,20)</f>
        <v>0</v>
      </c>
      <c r="G84" s="192"/>
      <c r="H84" s="192">
        <f>IF(D84&lt;=0, 0,IF(D84&lt;1,"OK","Revista cu punctaj peste 1"))</f>
        <v>0</v>
      </c>
    </row>
    <row r="85" spans="1:8" x14ac:dyDescent="0.25">
      <c r="A85" s="29"/>
      <c r="B85" s="29"/>
      <c r="C85" s="29"/>
      <c r="D85" s="29"/>
      <c r="E85" s="41">
        <f t="shared" ref="E85:E93" si="4">IF(A85=0,0,20)</f>
        <v>0</v>
      </c>
      <c r="G85" s="192"/>
      <c r="H85" s="192">
        <f t="shared" ref="H85:H93" si="5">IF(D85&lt;=0, 0,IF(D85&lt;1,"OK","Revista cu punctaj peste 1"))</f>
        <v>0</v>
      </c>
    </row>
    <row r="86" spans="1:8" x14ac:dyDescent="0.25">
      <c r="A86" s="29"/>
      <c r="B86" s="29"/>
      <c r="C86" s="29"/>
      <c r="D86" s="29"/>
      <c r="E86" s="41">
        <f t="shared" si="4"/>
        <v>0</v>
      </c>
      <c r="G86" s="192"/>
      <c r="H86" s="192">
        <f t="shared" si="5"/>
        <v>0</v>
      </c>
    </row>
    <row r="87" spans="1:8" x14ac:dyDescent="0.25">
      <c r="A87" s="29"/>
      <c r="B87" s="29"/>
      <c r="C87" s="29"/>
      <c r="D87" s="29"/>
      <c r="E87" s="41">
        <f t="shared" si="4"/>
        <v>0</v>
      </c>
      <c r="G87" s="192"/>
      <c r="H87" s="192">
        <f t="shared" si="5"/>
        <v>0</v>
      </c>
    </row>
    <row r="88" spans="1:8" x14ac:dyDescent="0.25">
      <c r="A88" s="29"/>
      <c r="B88" s="29"/>
      <c r="C88" s="29"/>
      <c r="D88" s="29"/>
      <c r="E88" s="41">
        <f t="shared" si="4"/>
        <v>0</v>
      </c>
      <c r="G88" s="192"/>
      <c r="H88" s="192">
        <f t="shared" si="5"/>
        <v>0</v>
      </c>
    </row>
    <row r="89" spans="1:8" x14ac:dyDescent="0.25">
      <c r="A89" s="29"/>
      <c r="B89" s="29"/>
      <c r="C89" s="29"/>
      <c r="D89" s="29"/>
      <c r="E89" s="41">
        <f t="shared" si="4"/>
        <v>0</v>
      </c>
      <c r="G89" s="192"/>
      <c r="H89" s="192">
        <f t="shared" si="5"/>
        <v>0</v>
      </c>
    </row>
    <row r="90" spans="1:8" x14ac:dyDescent="0.25">
      <c r="A90" s="29"/>
      <c r="B90" s="29"/>
      <c r="C90" s="29"/>
      <c r="D90" s="29"/>
      <c r="E90" s="41">
        <f t="shared" si="4"/>
        <v>0</v>
      </c>
      <c r="G90" s="192"/>
      <c r="H90" s="192">
        <f t="shared" si="5"/>
        <v>0</v>
      </c>
    </row>
    <row r="91" spans="1:8" x14ac:dyDescent="0.25">
      <c r="A91" s="29"/>
      <c r="B91" s="29"/>
      <c r="C91" s="29"/>
      <c r="D91" s="29"/>
      <c r="E91" s="41">
        <f t="shared" si="4"/>
        <v>0</v>
      </c>
      <c r="G91" s="192"/>
      <c r="H91" s="192">
        <f t="shared" si="5"/>
        <v>0</v>
      </c>
    </row>
    <row r="92" spans="1:8" x14ac:dyDescent="0.25">
      <c r="A92" s="29"/>
      <c r="B92" s="29"/>
      <c r="C92" s="29"/>
      <c r="D92" s="29"/>
      <c r="E92" s="41">
        <f t="shared" si="4"/>
        <v>0</v>
      </c>
      <c r="G92" s="192"/>
      <c r="H92" s="192">
        <f t="shared" si="5"/>
        <v>0</v>
      </c>
    </row>
    <row r="93" spans="1:8" x14ac:dyDescent="0.25">
      <c r="A93" s="29"/>
      <c r="B93" s="29"/>
      <c r="C93" s="29"/>
      <c r="D93" s="29"/>
      <c r="E93" s="41">
        <f t="shared" si="4"/>
        <v>0</v>
      </c>
      <c r="G93" s="192"/>
      <c r="H93" s="192">
        <f t="shared" si="5"/>
        <v>0</v>
      </c>
    </row>
    <row r="94" spans="1:8" ht="15.75" thickBot="1" x14ac:dyDescent="0.3">
      <c r="A94" s="29"/>
      <c r="B94" s="29"/>
      <c r="C94" s="29"/>
      <c r="D94" s="29"/>
      <c r="E94" s="41">
        <f>IF(A94=0,0,20)</f>
        <v>0</v>
      </c>
      <c r="G94" s="192"/>
      <c r="H94" s="192">
        <f>IF(D94&lt;=0, 0,IF(D94&lt;1,"OK","Revista cu punctaj peste 1"))</f>
        <v>0</v>
      </c>
    </row>
    <row r="95" spans="1:8" ht="30.75" thickBot="1" x14ac:dyDescent="0.3">
      <c r="A95" s="157" t="s">
        <v>158</v>
      </c>
      <c r="B95" s="22"/>
      <c r="C95" s="187">
        <f>COUNTA(A96:A107)</f>
        <v>0</v>
      </c>
      <c r="D95" s="216" t="s">
        <v>73</v>
      </c>
      <c r="E95" s="197">
        <f>SUM(E96:E107)</f>
        <v>0</v>
      </c>
      <c r="G95" s="190" t="s">
        <v>113</v>
      </c>
      <c r="H95" s="190" t="s">
        <v>74</v>
      </c>
    </row>
    <row r="96" spans="1:8" x14ac:dyDescent="0.25">
      <c r="A96" s="29"/>
      <c r="B96" s="29"/>
      <c r="C96" s="29"/>
      <c r="D96" s="29"/>
      <c r="E96" s="41">
        <f>IF(A96=0,0,30)</f>
        <v>0</v>
      </c>
      <c r="G96" s="192"/>
      <c r="H96" s="193">
        <f>IF(D96&lt;=0, 0,IF(D96&gt;=1,"OK","Revista cu punctaj sub 1"))</f>
        <v>0</v>
      </c>
    </row>
    <row r="97" spans="1:8" x14ac:dyDescent="0.25">
      <c r="A97" s="29"/>
      <c r="B97" s="29"/>
      <c r="C97" s="29"/>
      <c r="D97" s="29"/>
      <c r="E97" s="41">
        <f t="shared" ref="E97:E104" si="6">IF(A97=0,0,30)</f>
        <v>0</v>
      </c>
      <c r="G97" s="192"/>
      <c r="H97" s="193">
        <f t="shared" ref="H97:H105" si="7">IF(D97&lt;=0, 0,IF(D97&gt;=1,"OK","Revista cu punctaj sub 1"))</f>
        <v>0</v>
      </c>
    </row>
    <row r="98" spans="1:8" x14ac:dyDescent="0.25">
      <c r="A98" s="29"/>
      <c r="B98" s="29"/>
      <c r="C98" s="29"/>
      <c r="D98" s="29"/>
      <c r="E98" s="41">
        <f t="shared" si="6"/>
        <v>0</v>
      </c>
      <c r="G98" s="192"/>
      <c r="H98" s="193">
        <f t="shared" si="7"/>
        <v>0</v>
      </c>
    </row>
    <row r="99" spans="1:8" x14ac:dyDescent="0.25">
      <c r="A99" s="29"/>
      <c r="B99" s="29"/>
      <c r="C99" s="29"/>
      <c r="D99" s="29"/>
      <c r="E99" s="41">
        <f t="shared" si="6"/>
        <v>0</v>
      </c>
      <c r="G99" s="192"/>
      <c r="H99" s="193">
        <f t="shared" si="7"/>
        <v>0</v>
      </c>
    </row>
    <row r="100" spans="1:8" x14ac:dyDescent="0.25">
      <c r="A100" s="29"/>
      <c r="B100" s="29"/>
      <c r="C100" s="29"/>
      <c r="D100" s="29"/>
      <c r="E100" s="41">
        <f t="shared" si="6"/>
        <v>0</v>
      </c>
      <c r="G100" s="192"/>
      <c r="H100" s="193">
        <f t="shared" si="7"/>
        <v>0</v>
      </c>
    </row>
    <row r="101" spans="1:8" x14ac:dyDescent="0.25">
      <c r="A101" s="29"/>
      <c r="B101" s="29"/>
      <c r="C101" s="29"/>
      <c r="D101" s="29"/>
      <c r="E101" s="41">
        <f t="shared" si="6"/>
        <v>0</v>
      </c>
      <c r="G101" s="192"/>
      <c r="H101" s="193">
        <f t="shared" si="7"/>
        <v>0</v>
      </c>
    </row>
    <row r="102" spans="1:8" x14ac:dyDescent="0.25">
      <c r="A102" s="29"/>
      <c r="B102" s="29"/>
      <c r="C102" s="29"/>
      <c r="D102" s="29"/>
      <c r="E102" s="41">
        <f t="shared" si="6"/>
        <v>0</v>
      </c>
      <c r="G102" s="192"/>
      <c r="H102" s="193">
        <f t="shared" si="7"/>
        <v>0</v>
      </c>
    </row>
    <row r="103" spans="1:8" x14ac:dyDescent="0.25">
      <c r="A103" s="29"/>
      <c r="B103" s="29"/>
      <c r="C103" s="29"/>
      <c r="D103" s="29"/>
      <c r="E103" s="41">
        <f t="shared" si="6"/>
        <v>0</v>
      </c>
      <c r="G103" s="192"/>
      <c r="H103" s="193">
        <f t="shared" si="7"/>
        <v>0</v>
      </c>
    </row>
    <row r="104" spans="1:8" x14ac:dyDescent="0.25">
      <c r="A104" s="29"/>
      <c r="B104" s="29"/>
      <c r="C104" s="29"/>
      <c r="D104" s="29"/>
      <c r="E104" s="41">
        <f t="shared" si="6"/>
        <v>0</v>
      </c>
      <c r="G104" s="192"/>
      <c r="H104" s="193">
        <f t="shared" si="7"/>
        <v>0</v>
      </c>
    </row>
    <row r="105" spans="1:8" x14ac:dyDescent="0.25">
      <c r="A105" s="29"/>
      <c r="B105" s="29"/>
      <c r="C105" s="29"/>
      <c r="D105" s="29"/>
      <c r="E105" s="41">
        <f>IF(A105=0,0,30)</f>
        <v>0</v>
      </c>
      <c r="G105" s="192"/>
      <c r="H105" s="193">
        <f t="shared" si="7"/>
        <v>0</v>
      </c>
    </row>
    <row r="106" spans="1:8" x14ac:dyDescent="0.25">
      <c r="A106" s="48"/>
      <c r="B106" s="48"/>
      <c r="C106" s="48"/>
      <c r="D106" s="29"/>
      <c r="E106" s="41">
        <f t="shared" ref="E106:E107" si="8">IF(A106=0,0,30)</f>
        <v>0</v>
      </c>
      <c r="G106" s="192"/>
      <c r="H106" s="193">
        <f t="shared" ref="H106:H107" si="9">IF(D106&lt;=0, 0,IF(D106&gt;=1,"OK","Revista cu punctaj sub 1"))</f>
        <v>0</v>
      </c>
    </row>
    <row r="107" spans="1:8" ht="15.75" thickBot="1" x14ac:dyDescent="0.3">
      <c r="A107" s="48"/>
      <c r="B107" s="48"/>
      <c r="C107" s="48"/>
      <c r="D107" s="29"/>
      <c r="E107" s="41">
        <f t="shared" si="8"/>
        <v>0</v>
      </c>
      <c r="G107" s="192"/>
      <c r="H107" s="193">
        <f t="shared" si="9"/>
        <v>0</v>
      </c>
    </row>
    <row r="108" spans="1:8" ht="30.75" thickBot="1" x14ac:dyDescent="0.3">
      <c r="A108" s="288" t="s">
        <v>480</v>
      </c>
      <c r="B108" s="22"/>
      <c r="C108" s="187">
        <f>COUNTA(A109:A113)</f>
        <v>0</v>
      </c>
      <c r="D108" s="216"/>
      <c r="E108" s="197">
        <f>SUM(E109:E113)</f>
        <v>0</v>
      </c>
    </row>
    <row r="109" spans="1:8" x14ac:dyDescent="0.25">
      <c r="A109" s="29"/>
      <c r="B109" s="29"/>
      <c r="C109" s="29"/>
      <c r="D109" s="29"/>
      <c r="E109" s="41">
        <f>IF(A109=0,0,50)</f>
        <v>0</v>
      </c>
    </row>
    <row r="110" spans="1:8" x14ac:dyDescent="0.25">
      <c r="A110" s="29"/>
      <c r="B110" s="29"/>
      <c r="C110" s="29"/>
      <c r="D110" s="29"/>
      <c r="E110" s="41">
        <f t="shared" ref="E110:E111" si="10">IF(A110=0,0,50)</f>
        <v>0</v>
      </c>
    </row>
    <row r="111" spans="1:8" x14ac:dyDescent="0.25">
      <c r="A111" s="29"/>
      <c r="B111" s="29"/>
      <c r="C111" s="29"/>
      <c r="D111" s="29"/>
      <c r="E111" s="41">
        <f t="shared" si="10"/>
        <v>0</v>
      </c>
    </row>
    <row r="112" spans="1:8" x14ac:dyDescent="0.25">
      <c r="A112" s="29"/>
      <c r="B112" s="29"/>
      <c r="C112" s="29"/>
      <c r="D112" s="29"/>
      <c r="E112" s="41">
        <f t="shared" ref="E112:E113" si="11">IF(A112=0,0,50)</f>
        <v>0</v>
      </c>
    </row>
    <row r="113" spans="1:7" ht="15.75" thickBot="1" x14ac:dyDescent="0.3">
      <c r="A113" s="29"/>
      <c r="B113" s="29"/>
      <c r="C113" s="29"/>
      <c r="D113" s="29"/>
      <c r="E113" s="41">
        <f t="shared" si="11"/>
        <v>0</v>
      </c>
    </row>
    <row r="114" spans="1:7" ht="16.5" thickBot="1" x14ac:dyDescent="0.3">
      <c r="A114" s="77" t="s">
        <v>238</v>
      </c>
      <c r="B114" s="77" t="s">
        <v>235</v>
      </c>
      <c r="C114" s="77"/>
      <c r="D114" s="77"/>
      <c r="E114" s="188">
        <f>E115+E124+E131+E144+E155+E157+E160+E179+E183+E165+E167+E169+E177+E173+E175</f>
        <v>0</v>
      </c>
    </row>
    <row r="115" spans="1:7" ht="15.75" customHeight="1" thickBot="1" x14ac:dyDescent="0.3">
      <c r="A115" s="10" t="s">
        <v>477</v>
      </c>
      <c r="B115" s="21"/>
      <c r="C115" s="222"/>
      <c r="D115" s="35">
        <f>D116+D120</f>
        <v>0</v>
      </c>
      <c r="E115" s="39">
        <f>E116+E120</f>
        <v>0</v>
      </c>
    </row>
    <row r="116" spans="1:7" ht="15.75" thickBot="1" x14ac:dyDescent="0.3">
      <c r="A116" s="157" t="s">
        <v>307</v>
      </c>
      <c r="B116" s="22" t="s">
        <v>308</v>
      </c>
      <c r="C116" s="209"/>
      <c r="D116" s="34">
        <f>COUNTA(A117:A119)</f>
        <v>0</v>
      </c>
      <c r="E116" s="39">
        <f>SUM(E117:E119)</f>
        <v>0</v>
      </c>
    </row>
    <row r="117" spans="1:7" x14ac:dyDescent="0.25">
      <c r="A117" s="29"/>
      <c r="B117" s="29"/>
      <c r="C117" s="209"/>
      <c r="D117" s="22"/>
      <c r="E117" s="41">
        <f>IF(A117=0,0,30*B117)</f>
        <v>0</v>
      </c>
    </row>
    <row r="118" spans="1:7" x14ac:dyDescent="0.25">
      <c r="A118" s="29"/>
      <c r="B118" s="29"/>
      <c r="C118" s="209"/>
      <c r="D118" s="22"/>
      <c r="E118" s="41">
        <f>IF(A118=0,0,30*B118)</f>
        <v>0</v>
      </c>
    </row>
    <row r="119" spans="1:7" ht="15.75" thickBot="1" x14ac:dyDescent="0.3">
      <c r="A119" s="29"/>
      <c r="B119" s="29"/>
      <c r="C119" s="209"/>
      <c r="D119" s="22"/>
      <c r="E119" s="41">
        <f>IF(A119=0,0,30*B119)</f>
        <v>0</v>
      </c>
    </row>
    <row r="120" spans="1:7" ht="15.75" thickBot="1" x14ac:dyDescent="0.3">
      <c r="A120" s="157" t="s">
        <v>309</v>
      </c>
      <c r="B120" s="22" t="s">
        <v>308</v>
      </c>
      <c r="C120" s="209"/>
      <c r="D120" s="43">
        <f>COUNTA(A121:A123)</f>
        <v>0</v>
      </c>
      <c r="E120" s="39">
        <f>SUM(E121:E123)</f>
        <v>0</v>
      </c>
    </row>
    <row r="121" spans="1:7" x14ac:dyDescent="0.25">
      <c r="A121" s="29"/>
      <c r="B121" s="29"/>
      <c r="C121" s="209"/>
      <c r="D121" s="22"/>
      <c r="E121" s="41">
        <f>IF(A121=0,0,60*B121)</f>
        <v>0</v>
      </c>
    </row>
    <row r="122" spans="1:7" x14ac:dyDescent="0.25">
      <c r="A122" s="29"/>
      <c r="B122" s="29"/>
      <c r="C122" s="209"/>
      <c r="D122" s="42"/>
      <c r="E122" s="41">
        <f>IF(A122=0,0,60*B122)</f>
        <v>0</v>
      </c>
    </row>
    <row r="123" spans="1:7" ht="15.75" thickBot="1" x14ac:dyDescent="0.3">
      <c r="A123" s="29"/>
      <c r="B123" s="29"/>
      <c r="C123" s="209"/>
      <c r="D123" s="42"/>
      <c r="E123" s="41">
        <f>IF(A123=0,0,60*B123)</f>
        <v>0</v>
      </c>
    </row>
    <row r="124" spans="1:7" ht="15.75" thickBot="1" x14ac:dyDescent="0.3">
      <c r="A124" s="79" t="s">
        <v>476</v>
      </c>
      <c r="B124" s="22"/>
      <c r="C124" s="223"/>
      <c r="D124" s="23"/>
      <c r="E124" s="39">
        <f>SUM(E126:E130)</f>
        <v>0</v>
      </c>
    </row>
    <row r="125" spans="1:7" ht="60" x14ac:dyDescent="0.25">
      <c r="A125" s="224" t="s">
        <v>436</v>
      </c>
      <c r="B125" s="22" t="s">
        <v>76</v>
      </c>
      <c r="C125" s="209"/>
      <c r="D125" s="34"/>
      <c r="E125" s="61"/>
    </row>
    <row r="126" spans="1:7" x14ac:dyDescent="0.25">
      <c r="A126" s="157" t="s">
        <v>114</v>
      </c>
      <c r="B126" s="29"/>
      <c r="C126" s="209"/>
      <c r="D126" s="22"/>
      <c r="E126" s="41">
        <f>IF(A126=0,0,60*B126)</f>
        <v>0</v>
      </c>
      <c r="G126" s="192">
        <f>IF(B126=0,0,IF(AND(B126&gt;0,B126&lt;=5),"OK","trebuie maxim 5 ani"))</f>
        <v>0</v>
      </c>
    </row>
    <row r="127" spans="1:7" x14ac:dyDescent="0.25">
      <c r="A127" s="157" t="s">
        <v>115</v>
      </c>
      <c r="B127" s="29"/>
      <c r="C127" s="209"/>
      <c r="D127" s="42"/>
      <c r="E127" s="41">
        <f>IF(A127=0,0,60*B127)</f>
        <v>0</v>
      </c>
      <c r="G127" s="192">
        <f>IF(B127=0,0,IF(AND(B127&gt;0,B127&lt;=5),"OK","trebuie maxim 5 ani"))</f>
        <v>0</v>
      </c>
    </row>
    <row r="128" spans="1:7" x14ac:dyDescent="0.25">
      <c r="A128" s="157" t="s">
        <v>124</v>
      </c>
      <c r="B128" s="29"/>
      <c r="C128" s="209"/>
      <c r="D128" s="42"/>
      <c r="E128" s="41">
        <f>IF(A128=0,0,40*B128)</f>
        <v>0</v>
      </c>
      <c r="G128" s="192">
        <f t="shared" ref="G128:G130" si="12">IF(B128=0,0,IF(AND(B128&gt;0,B128&lt;=5),"OK","trebuie maxim 5 ani"))</f>
        <v>0</v>
      </c>
    </row>
    <row r="129" spans="1:7" s="263" customFormat="1" x14ac:dyDescent="0.25">
      <c r="A129" s="157" t="s">
        <v>437</v>
      </c>
      <c r="B129" s="29"/>
      <c r="C129" s="261"/>
      <c r="D129" s="262"/>
      <c r="E129" s="41">
        <f>IF(A129=0,0,50*B129)</f>
        <v>0</v>
      </c>
      <c r="G129" s="192">
        <f t="shared" si="12"/>
        <v>0</v>
      </c>
    </row>
    <row r="130" spans="1:7" ht="15.75" thickBot="1" x14ac:dyDescent="0.3">
      <c r="A130" s="157" t="s">
        <v>394</v>
      </c>
      <c r="B130" s="29"/>
      <c r="C130" s="209"/>
      <c r="D130" s="42"/>
      <c r="E130" s="41">
        <f>IF(A130=0,0,60*B130)</f>
        <v>0</v>
      </c>
      <c r="G130" s="192">
        <f t="shared" si="12"/>
        <v>0</v>
      </c>
    </row>
    <row r="131" spans="1:7" ht="30.75" thickBot="1" x14ac:dyDescent="0.3">
      <c r="A131" s="79" t="s">
        <v>475</v>
      </c>
      <c r="B131" s="29"/>
      <c r="C131" s="223"/>
      <c r="D131" s="23">
        <f>SUM(D133:D137)+SUM(D139:D143)</f>
        <v>0</v>
      </c>
      <c r="E131" s="39">
        <f>E132+E138</f>
        <v>0</v>
      </c>
    </row>
    <row r="132" spans="1:7" ht="60" customHeight="1" thickBot="1" x14ac:dyDescent="0.3">
      <c r="A132" s="157" t="s">
        <v>448</v>
      </c>
      <c r="B132" s="402" t="s">
        <v>125</v>
      </c>
      <c r="C132" s="403"/>
      <c r="D132" s="225" t="s">
        <v>78</v>
      </c>
      <c r="E132" s="39">
        <f>SUM(E133:E137)</f>
        <v>0</v>
      </c>
    </row>
    <row r="133" spans="1:7" x14ac:dyDescent="0.25">
      <c r="A133" s="29"/>
      <c r="B133" s="29"/>
      <c r="C133" s="218"/>
      <c r="D133" s="29"/>
      <c r="E133" s="41">
        <f>IF(OR(D133=0,B133=0),0,IF(B133="presedinte",30*D133,IF(B133="vicepresedinte",20*D133,15*D133)))</f>
        <v>0</v>
      </c>
    </row>
    <row r="134" spans="1:7" x14ac:dyDescent="0.25">
      <c r="A134" s="29"/>
      <c r="B134" s="29"/>
      <c r="C134" s="218"/>
      <c r="D134" s="29"/>
      <c r="E134" s="41">
        <f>IF(OR(D134=0,B134=0),0,IF(B134="presedinte",30*D134,IF(B134="vicepresedinte",20*D134,15*D134)))</f>
        <v>0</v>
      </c>
    </row>
    <row r="135" spans="1:7" x14ac:dyDescent="0.25">
      <c r="A135" s="29"/>
      <c r="B135" s="29"/>
      <c r="C135" s="218"/>
      <c r="D135" s="29"/>
      <c r="E135" s="41">
        <f>IF(OR(D135=0,B135=0),0,IF(B135="presedinte",30*D135,IF(B135="vicepresedinte",20*D135,15*D135)))</f>
        <v>0</v>
      </c>
    </row>
    <row r="136" spans="1:7" x14ac:dyDescent="0.25">
      <c r="A136" s="29"/>
      <c r="B136" s="29"/>
      <c r="C136" s="218"/>
      <c r="D136" s="29"/>
      <c r="E136" s="41">
        <f>IF(OR(D136=0,B136=0),0,IF(B136="presedinte",30*D136,IF(B136="vicepresedinte",20*D136,15*D136)))</f>
        <v>0</v>
      </c>
    </row>
    <row r="137" spans="1:7" ht="15.75" thickBot="1" x14ac:dyDescent="0.3">
      <c r="A137" s="29"/>
      <c r="B137" s="29"/>
      <c r="C137" s="218"/>
      <c r="D137" s="29"/>
      <c r="E137" s="41">
        <f>IF(OR(D137=0,B137=0),0,IF(B137="presedinte",30*D137,IF(B137="vicepresedinte",20*D137,15*D137)))</f>
        <v>0</v>
      </c>
    </row>
    <row r="138" spans="1:7" ht="60" customHeight="1" thickBot="1" x14ac:dyDescent="0.3">
      <c r="A138" s="157" t="s">
        <v>449</v>
      </c>
      <c r="B138" s="402" t="s">
        <v>125</v>
      </c>
      <c r="C138" s="403"/>
      <c r="D138" s="225" t="s">
        <v>78</v>
      </c>
      <c r="E138" s="39">
        <f>SUM(E139:E143)</f>
        <v>0</v>
      </c>
    </row>
    <row r="139" spans="1:7" x14ac:dyDescent="0.25">
      <c r="A139" s="29"/>
      <c r="B139" s="29"/>
      <c r="C139" s="218"/>
      <c r="D139" s="29"/>
      <c r="E139" s="41">
        <f>IF(OR(D139=0,B139=0),0,IF(B139="presedinte",60*D139,IF(B139="vicepresedinte",40*D139,30*D139)))</f>
        <v>0</v>
      </c>
    </row>
    <row r="140" spans="1:7" x14ac:dyDescent="0.25">
      <c r="A140" s="29"/>
      <c r="B140" s="29"/>
      <c r="C140" s="218"/>
      <c r="D140" s="29"/>
      <c r="E140" s="41">
        <f>IF(OR(D140=0,B140=0),0,IF(B140="presedinte",60*D140,IF(B140="vicepresedinte",40*D140,30*D140)))</f>
        <v>0</v>
      </c>
    </row>
    <row r="141" spans="1:7" x14ac:dyDescent="0.25">
      <c r="A141" s="29"/>
      <c r="B141" s="29"/>
      <c r="C141" s="218"/>
      <c r="D141" s="29"/>
      <c r="E141" s="41">
        <f>IF(OR(D141=0,B141=0),0,IF(B141="presedinte",60*D141,IF(B141="vicepresedinte",40*D141,30*D141)))</f>
        <v>0</v>
      </c>
    </row>
    <row r="142" spans="1:7" x14ac:dyDescent="0.25">
      <c r="A142" s="29"/>
      <c r="B142" s="29"/>
      <c r="C142" s="218"/>
      <c r="D142" s="29"/>
      <c r="E142" s="41">
        <f>IF(OR(D142=0,B142=0),0,IF(B142="presedinte",60*D142,IF(B142="vicepresedinte",40*D142,30*D142)))</f>
        <v>0</v>
      </c>
    </row>
    <row r="143" spans="1:7" ht="15.75" thickBot="1" x14ac:dyDescent="0.3">
      <c r="A143" s="29"/>
      <c r="B143" s="29"/>
      <c r="C143" s="218"/>
      <c r="D143" s="48"/>
      <c r="E143" s="41">
        <f>IF(OR(D143=0,B143=0),0,IF(B143="presedinte",60*D143,IF(B143="vicepresedinte",40*D143,30*D143)))</f>
        <v>0</v>
      </c>
    </row>
    <row r="144" spans="1:7" ht="15.75" customHeight="1" thickBot="1" x14ac:dyDescent="0.3">
      <c r="A144" s="25" t="s">
        <v>465</v>
      </c>
      <c r="B144" s="22"/>
      <c r="C144" s="223"/>
      <c r="D144" s="23">
        <f>SUM(D146:D149)+SUM(D151:D154)</f>
        <v>0</v>
      </c>
      <c r="E144" s="39">
        <f>E145+E150</f>
        <v>0</v>
      </c>
    </row>
    <row r="145" spans="1:7" ht="32.25" customHeight="1" thickBot="1" x14ac:dyDescent="0.3">
      <c r="A145" s="157" t="s">
        <v>450</v>
      </c>
      <c r="B145" s="22"/>
      <c r="C145" s="209"/>
      <c r="D145" s="225" t="s">
        <v>78</v>
      </c>
      <c r="E145" s="39">
        <f>SUM(E146:E149)</f>
        <v>0</v>
      </c>
    </row>
    <row r="146" spans="1:7" x14ac:dyDescent="0.25">
      <c r="A146" s="29"/>
      <c r="B146" s="29"/>
      <c r="C146" s="218"/>
      <c r="D146" s="29"/>
      <c r="E146" s="41">
        <f>IF(A146=0,0,10*D146)</f>
        <v>0</v>
      </c>
    </row>
    <row r="147" spans="1:7" x14ac:dyDescent="0.25">
      <c r="A147" s="29"/>
      <c r="B147" s="29"/>
      <c r="C147" s="218"/>
      <c r="D147" s="29"/>
      <c r="E147" s="41">
        <f>IF(A147=0,0,10*D147)</f>
        <v>0</v>
      </c>
    </row>
    <row r="148" spans="1:7" x14ac:dyDescent="0.25">
      <c r="A148" s="29"/>
      <c r="B148" s="29"/>
      <c r="C148" s="218"/>
      <c r="D148" s="29"/>
      <c r="E148" s="41">
        <f>IF(A148=0,0,10*D148)</f>
        <v>0</v>
      </c>
    </row>
    <row r="149" spans="1:7" ht="15.75" thickBot="1" x14ac:dyDescent="0.3">
      <c r="A149" s="29"/>
      <c r="B149" s="29"/>
      <c r="C149" s="218"/>
      <c r="D149" s="29"/>
      <c r="E149" s="41">
        <f>IF(A149=0,0,10*D149)</f>
        <v>0</v>
      </c>
    </row>
    <row r="150" spans="1:7" ht="33" customHeight="1" thickBot="1" x14ac:dyDescent="0.3">
      <c r="A150" s="157" t="s">
        <v>451</v>
      </c>
      <c r="B150" s="22"/>
      <c r="C150" s="209"/>
      <c r="D150" s="225" t="s">
        <v>78</v>
      </c>
      <c r="E150" s="39">
        <f>SUM(E151:E154)</f>
        <v>0</v>
      </c>
    </row>
    <row r="151" spans="1:7" x14ac:dyDescent="0.25">
      <c r="A151" s="29"/>
      <c r="B151" s="29"/>
      <c r="C151" s="218"/>
      <c r="D151" s="29"/>
      <c r="E151" s="41">
        <f>IF(A151=0,0,20*D151)</f>
        <v>0</v>
      </c>
    </row>
    <row r="152" spans="1:7" x14ac:dyDescent="0.25">
      <c r="A152" s="29"/>
      <c r="B152" s="29"/>
      <c r="C152" s="218"/>
      <c r="D152" s="48"/>
      <c r="E152" s="41">
        <f>IF(A152=0,0,20*D152)</f>
        <v>0</v>
      </c>
    </row>
    <row r="153" spans="1:7" x14ac:dyDescent="0.25">
      <c r="A153" s="29"/>
      <c r="B153" s="29"/>
      <c r="C153" s="218"/>
      <c r="D153" s="48"/>
      <c r="E153" s="41">
        <f>IF(A153=0,0,20*D153)</f>
        <v>0</v>
      </c>
    </row>
    <row r="154" spans="1:7" ht="15.75" thickBot="1" x14ac:dyDescent="0.3">
      <c r="A154" s="29"/>
      <c r="B154" s="29"/>
      <c r="C154" s="218"/>
      <c r="D154" s="48"/>
      <c r="E154" s="41">
        <f>IF(A154=0,0,20*D154)</f>
        <v>0</v>
      </c>
    </row>
    <row r="155" spans="1:7" ht="15.75" customHeight="1" thickBot="1" x14ac:dyDescent="0.3">
      <c r="A155" s="255" t="s">
        <v>474</v>
      </c>
      <c r="B155" s="22" t="s">
        <v>76</v>
      </c>
      <c r="C155" s="223"/>
      <c r="D155" s="23">
        <f>B156</f>
        <v>0</v>
      </c>
      <c r="E155" s="188">
        <f>E156</f>
        <v>0</v>
      </c>
    </row>
    <row r="156" spans="1:7" ht="15.75" thickBot="1" x14ac:dyDescent="0.3">
      <c r="A156" s="157" t="s">
        <v>117</v>
      </c>
      <c r="B156" s="29"/>
      <c r="C156" s="209"/>
      <c r="D156" s="22"/>
      <c r="E156" s="41">
        <f>IF(A156=0,0,40*B156)</f>
        <v>0</v>
      </c>
      <c r="G156" s="192">
        <f>IF(B156=0,0,IF(AND(B156&gt;0,B156&lt;=5),"OK","trebuie maxim 5 ani"))</f>
        <v>0</v>
      </c>
    </row>
    <row r="157" spans="1:7" ht="30.75" thickBot="1" x14ac:dyDescent="0.3">
      <c r="A157" s="79" t="s">
        <v>473</v>
      </c>
      <c r="B157" s="22" t="s">
        <v>79</v>
      </c>
      <c r="C157" s="223"/>
      <c r="D157" s="23">
        <f>B158+B159</f>
        <v>0</v>
      </c>
      <c r="E157" s="39">
        <f>SUM(E158:E159)</f>
        <v>0</v>
      </c>
    </row>
    <row r="158" spans="1:7" x14ac:dyDescent="0.25">
      <c r="A158" s="157" t="s">
        <v>116</v>
      </c>
      <c r="B158" s="29"/>
      <c r="C158" s="209"/>
      <c r="D158" s="22"/>
      <c r="E158" s="41">
        <f>IF(A158=0,0,50*B158)</f>
        <v>0</v>
      </c>
    </row>
    <row r="159" spans="1:7" ht="15.75" thickBot="1" x14ac:dyDescent="0.3">
      <c r="A159" s="157" t="s">
        <v>239</v>
      </c>
      <c r="B159" s="29"/>
      <c r="C159" s="209"/>
      <c r="D159" s="42"/>
      <c r="E159" s="41">
        <f>IF(A159=0,0,50*B159)</f>
        <v>0</v>
      </c>
    </row>
    <row r="160" spans="1:7" ht="30.75" thickBot="1" x14ac:dyDescent="0.3">
      <c r="A160" s="79" t="s">
        <v>472</v>
      </c>
      <c r="B160" s="22"/>
      <c r="C160" s="223"/>
      <c r="D160" s="23">
        <f>COUNTA(A161:A164)</f>
        <v>0</v>
      </c>
      <c r="E160" s="39">
        <f>SUM(E161:E164)</f>
        <v>0</v>
      </c>
    </row>
    <row r="161" spans="1:5" x14ac:dyDescent="0.25">
      <c r="A161" s="127"/>
      <c r="B161" s="22"/>
      <c r="C161" s="209"/>
      <c r="D161" s="34"/>
      <c r="E161" s="41">
        <f>IF(A161=0,0,50)</f>
        <v>0</v>
      </c>
    </row>
    <row r="162" spans="1:5" x14ac:dyDescent="0.25">
      <c r="A162" s="127"/>
      <c r="B162" s="22"/>
      <c r="C162" s="209"/>
      <c r="D162" s="34"/>
      <c r="E162" s="41">
        <f>IF(A162=0,0,50)</f>
        <v>0</v>
      </c>
    </row>
    <row r="163" spans="1:5" x14ac:dyDescent="0.25">
      <c r="A163" s="127"/>
      <c r="B163" s="22"/>
      <c r="C163" s="209"/>
      <c r="D163" s="34"/>
      <c r="E163" s="41">
        <f>IF(A163=0,0,50)</f>
        <v>0</v>
      </c>
    </row>
    <row r="164" spans="1:5" ht="15.75" thickBot="1" x14ac:dyDescent="0.3">
      <c r="A164" s="29"/>
      <c r="B164" s="29"/>
      <c r="C164" s="22"/>
      <c r="D164" s="22"/>
      <c r="E164" s="226">
        <f>IF(A164=0,0,50)</f>
        <v>0</v>
      </c>
    </row>
    <row r="165" spans="1:5" ht="15.75" thickBot="1" x14ac:dyDescent="0.3">
      <c r="A165" s="255" t="s">
        <v>471</v>
      </c>
      <c r="B165" s="22" t="s">
        <v>256</v>
      </c>
      <c r="C165" s="22"/>
      <c r="D165" s="43"/>
      <c r="E165" s="197">
        <f>E166</f>
        <v>0</v>
      </c>
    </row>
    <row r="166" spans="1:5" ht="15.75" thickBot="1" x14ac:dyDescent="0.3">
      <c r="A166" s="250"/>
      <c r="B166" s="29"/>
      <c r="C166" s="22"/>
      <c r="D166" s="22"/>
      <c r="E166" s="226">
        <f>10*B166</f>
        <v>0</v>
      </c>
    </row>
    <row r="167" spans="1:5" ht="15.75" thickBot="1" x14ac:dyDescent="0.3">
      <c r="A167" s="255" t="s">
        <v>470</v>
      </c>
      <c r="B167" s="22" t="s">
        <v>256</v>
      </c>
      <c r="C167" s="209"/>
      <c r="D167" s="42"/>
      <c r="E167" s="197">
        <f>E168</f>
        <v>0</v>
      </c>
    </row>
    <row r="168" spans="1:5" ht="15.75" thickBot="1" x14ac:dyDescent="0.3">
      <c r="A168" s="250"/>
      <c r="B168" s="29"/>
      <c r="C168" s="209"/>
      <c r="D168" s="42"/>
      <c r="E168" s="33">
        <f>30*B168</f>
        <v>0</v>
      </c>
    </row>
    <row r="169" spans="1:5" ht="15.75" thickBot="1" x14ac:dyDescent="0.3">
      <c r="A169" s="255" t="s">
        <v>259</v>
      </c>
      <c r="B169" s="22" t="s">
        <v>76</v>
      </c>
      <c r="C169" s="209"/>
      <c r="D169" s="213"/>
      <c r="E169" s="197">
        <f>SUM(E170:E172)</f>
        <v>0</v>
      </c>
    </row>
    <row r="170" spans="1:5" x14ac:dyDescent="0.25">
      <c r="A170" s="252" t="s">
        <v>382</v>
      </c>
      <c r="B170" s="29"/>
      <c r="C170" s="209"/>
      <c r="D170" s="42"/>
      <c r="E170" s="41">
        <f>20*B170</f>
        <v>0</v>
      </c>
    </row>
    <row r="171" spans="1:5" x14ac:dyDescent="0.25">
      <c r="A171" s="252" t="s">
        <v>383</v>
      </c>
      <c r="B171" s="29"/>
      <c r="C171" s="209"/>
      <c r="D171" s="42"/>
      <c r="E171" s="41">
        <f>30*B171</f>
        <v>0</v>
      </c>
    </row>
    <row r="172" spans="1:5" ht="15.75" thickBot="1" x14ac:dyDescent="0.3">
      <c r="A172" s="256" t="s">
        <v>384</v>
      </c>
      <c r="B172" s="48"/>
      <c r="C172" s="212"/>
      <c r="D172" s="42"/>
      <c r="E172" s="33">
        <f>40*B172</f>
        <v>0</v>
      </c>
    </row>
    <row r="173" spans="1:5" ht="15.75" thickBot="1" x14ac:dyDescent="0.3">
      <c r="A173" s="255" t="s">
        <v>445</v>
      </c>
      <c r="B173" s="22" t="s">
        <v>76</v>
      </c>
      <c r="C173" s="22"/>
      <c r="D173" s="43"/>
      <c r="E173" s="197">
        <f>E174</f>
        <v>0</v>
      </c>
    </row>
    <row r="174" spans="1:5" ht="15.75" thickBot="1" x14ac:dyDescent="0.3">
      <c r="A174" s="250"/>
      <c r="B174" s="29"/>
      <c r="C174" s="22"/>
      <c r="D174" s="42"/>
      <c r="E174" s="33">
        <f>IF(A174=0,0,20*B174)</f>
        <v>0</v>
      </c>
    </row>
    <row r="175" spans="1:5" ht="15.75" thickBot="1" x14ac:dyDescent="0.3">
      <c r="A175" s="255" t="s">
        <v>277</v>
      </c>
      <c r="B175" s="22" t="s">
        <v>257</v>
      </c>
      <c r="C175" s="43"/>
      <c r="D175" s="227">
        <f>B176</f>
        <v>0</v>
      </c>
      <c r="E175" s="154">
        <f>E176</f>
        <v>0</v>
      </c>
    </row>
    <row r="176" spans="1:5" ht="15.75" thickBot="1" x14ac:dyDescent="0.3">
      <c r="A176" s="257" t="s">
        <v>444</v>
      </c>
      <c r="B176" s="29"/>
      <c r="C176" s="22"/>
      <c r="D176" s="22"/>
      <c r="E176" s="51">
        <f>20*B176</f>
        <v>0</v>
      </c>
    </row>
    <row r="177" spans="1:5" ht="15.75" thickBot="1" x14ac:dyDescent="0.3">
      <c r="A177" s="258" t="s">
        <v>453</v>
      </c>
      <c r="B177" s="22" t="s">
        <v>76</v>
      </c>
      <c r="C177" s="22"/>
      <c r="D177" s="43"/>
      <c r="E177" s="197">
        <f>E178</f>
        <v>0</v>
      </c>
    </row>
    <row r="178" spans="1:5" ht="15.75" thickBot="1" x14ac:dyDescent="0.3">
      <c r="A178" s="250"/>
      <c r="B178" s="29"/>
      <c r="C178" s="22"/>
      <c r="D178" s="22"/>
      <c r="E178" s="41">
        <f>30*B178</f>
        <v>0</v>
      </c>
    </row>
    <row r="179" spans="1:5" ht="30.75" thickBot="1" x14ac:dyDescent="0.3">
      <c r="A179" s="259" t="s">
        <v>454</v>
      </c>
      <c r="B179" s="22" t="s">
        <v>80</v>
      </c>
      <c r="C179" s="223"/>
      <c r="D179" s="23">
        <f>B180+B181+B182</f>
        <v>0</v>
      </c>
      <c r="E179" s="39">
        <f>SUM(E180:E182)</f>
        <v>0</v>
      </c>
    </row>
    <row r="180" spans="1:5" x14ac:dyDescent="0.25">
      <c r="A180" s="162" t="s">
        <v>118</v>
      </c>
      <c r="B180" s="29"/>
      <c r="C180" s="209"/>
      <c r="D180" s="22"/>
      <c r="E180" s="41">
        <f>IF(A180=0,0,5*B180)</f>
        <v>0</v>
      </c>
    </row>
    <row r="181" spans="1:5" x14ac:dyDescent="0.25">
      <c r="A181" s="162" t="s">
        <v>119</v>
      </c>
      <c r="B181" s="29"/>
      <c r="C181" s="209"/>
      <c r="D181" s="42"/>
      <c r="E181" s="41">
        <f>IF(A181=0,0,5*B181)</f>
        <v>0</v>
      </c>
    </row>
    <row r="182" spans="1:5" ht="15.75" thickBot="1" x14ac:dyDescent="0.3">
      <c r="A182" s="162" t="s">
        <v>120</v>
      </c>
      <c r="B182" s="29"/>
      <c r="C182" s="209"/>
      <c r="D182" s="42"/>
      <c r="E182" s="33">
        <f>IF(A182=0,0,5*B182)</f>
        <v>0</v>
      </c>
    </row>
    <row r="183" spans="1:5" ht="15.75" thickBot="1" x14ac:dyDescent="0.3">
      <c r="A183" s="279" t="s">
        <v>455</v>
      </c>
      <c r="B183" s="280"/>
      <c r="C183" s="281"/>
      <c r="D183" s="282">
        <f>D184+D195</f>
        <v>0</v>
      </c>
      <c r="E183" s="283">
        <f>E184+E195</f>
        <v>0</v>
      </c>
    </row>
    <row r="184" spans="1:5" ht="15.75" thickBot="1" x14ac:dyDescent="0.3">
      <c r="A184" s="302" t="s">
        <v>69</v>
      </c>
      <c r="B184" s="249" t="s">
        <v>81</v>
      </c>
      <c r="C184" s="303"/>
      <c r="D184" s="304">
        <f>SUM(B185:B194)</f>
        <v>0</v>
      </c>
      <c r="E184" s="305">
        <f>SUM(E185:E194)</f>
        <v>0</v>
      </c>
    </row>
    <row r="185" spans="1:5" x14ac:dyDescent="0.25">
      <c r="A185" s="250"/>
      <c r="B185" s="250"/>
      <c r="C185" s="303"/>
      <c r="D185" s="249"/>
      <c r="E185" s="306">
        <f>IF(A185=0,0,20*B185)</f>
        <v>0</v>
      </c>
    </row>
    <row r="186" spans="1:5" x14ac:dyDescent="0.25">
      <c r="A186" s="250"/>
      <c r="B186" s="250"/>
      <c r="C186" s="303"/>
      <c r="D186" s="249"/>
      <c r="E186" s="306">
        <f t="shared" ref="E186:E191" si="13">IF(A186=0,0,20*B186)</f>
        <v>0</v>
      </c>
    </row>
    <row r="187" spans="1:5" x14ac:dyDescent="0.25">
      <c r="A187" s="250"/>
      <c r="B187" s="250"/>
      <c r="C187" s="303"/>
      <c r="D187" s="249"/>
      <c r="E187" s="306">
        <f t="shared" si="13"/>
        <v>0</v>
      </c>
    </row>
    <row r="188" spans="1:5" x14ac:dyDescent="0.25">
      <c r="A188" s="250"/>
      <c r="B188" s="250"/>
      <c r="C188" s="303"/>
      <c r="D188" s="249"/>
      <c r="E188" s="306">
        <f t="shared" si="13"/>
        <v>0</v>
      </c>
    </row>
    <row r="189" spans="1:5" x14ac:dyDescent="0.25">
      <c r="A189" s="250"/>
      <c r="B189" s="250"/>
      <c r="C189" s="303"/>
      <c r="D189" s="249"/>
      <c r="E189" s="306">
        <f t="shared" si="13"/>
        <v>0</v>
      </c>
    </row>
    <row r="190" spans="1:5" x14ac:dyDescent="0.25">
      <c r="A190" s="250"/>
      <c r="B190" s="250"/>
      <c r="C190" s="303"/>
      <c r="D190" s="249"/>
      <c r="E190" s="306">
        <f t="shared" si="13"/>
        <v>0</v>
      </c>
    </row>
    <row r="191" spans="1:5" x14ac:dyDescent="0.25">
      <c r="A191" s="250"/>
      <c r="B191" s="250"/>
      <c r="C191" s="303"/>
      <c r="D191" s="249"/>
      <c r="E191" s="306">
        <f t="shared" si="13"/>
        <v>0</v>
      </c>
    </row>
    <row r="192" spans="1:5" x14ac:dyDescent="0.25">
      <c r="A192" s="250"/>
      <c r="B192" s="250"/>
      <c r="C192" s="303"/>
      <c r="D192" s="249"/>
      <c r="E192" s="306">
        <f>IF(A192=0,0,20*B192)</f>
        <v>0</v>
      </c>
    </row>
    <row r="193" spans="1:5" x14ac:dyDescent="0.25">
      <c r="A193" s="250"/>
      <c r="B193" s="250"/>
      <c r="C193" s="303"/>
      <c r="D193" s="249"/>
      <c r="E193" s="306">
        <f>IF(A193=0,0,20*B193)</f>
        <v>0</v>
      </c>
    </row>
    <row r="194" spans="1:5" ht="15.75" thickBot="1" x14ac:dyDescent="0.3">
      <c r="A194" s="250"/>
      <c r="B194" s="250"/>
      <c r="C194" s="303"/>
      <c r="D194" s="249"/>
      <c r="E194" s="306">
        <f>IF(A194=0,0,20*B194)</f>
        <v>0</v>
      </c>
    </row>
    <row r="195" spans="1:5" ht="15.75" thickBot="1" x14ac:dyDescent="0.3">
      <c r="A195" s="284" t="s">
        <v>456</v>
      </c>
      <c r="B195" s="280" t="s">
        <v>81</v>
      </c>
      <c r="C195" s="285"/>
      <c r="D195" s="287">
        <f>SUM(B196:B199)</f>
        <v>0</v>
      </c>
      <c r="E195" s="286">
        <f>SUM(E196:E199)</f>
        <v>0</v>
      </c>
    </row>
    <row r="196" spans="1:5" x14ac:dyDescent="0.25">
      <c r="A196" s="250"/>
      <c r="B196" s="250"/>
      <c r="C196" s="303"/>
      <c r="D196" s="249"/>
      <c r="E196" s="306">
        <f>IF(A196=0,0,60*B196)</f>
        <v>0</v>
      </c>
    </row>
    <row r="197" spans="1:5" x14ac:dyDescent="0.25">
      <c r="A197" s="250"/>
      <c r="B197" s="250"/>
      <c r="C197" s="307"/>
      <c r="D197" s="308"/>
      <c r="E197" s="306">
        <f>IF(A197=0,0,60*B197)</f>
        <v>0</v>
      </c>
    </row>
    <row r="198" spans="1:5" x14ac:dyDescent="0.25">
      <c r="A198" s="250"/>
      <c r="B198" s="250"/>
      <c r="C198" s="307"/>
      <c r="D198" s="308"/>
      <c r="E198" s="309">
        <f t="shared" ref="E198:E199" si="14">IF(A198=0,0,60*B198)</f>
        <v>0</v>
      </c>
    </row>
    <row r="199" spans="1:5" ht="15.75" thickBot="1" x14ac:dyDescent="0.3">
      <c r="A199" s="310"/>
      <c r="B199" s="310"/>
      <c r="C199" s="311"/>
      <c r="D199" s="312"/>
      <c r="E199" s="313">
        <f t="shared" si="14"/>
        <v>0</v>
      </c>
    </row>
  </sheetData>
  <sheetProtection password="CBBD" sheet="1" objects="1" scenarios="1" formatCells="0" formatColumns="0" formatRows="0" insertRows="0"/>
  <mergeCells count="10">
    <mergeCell ref="B132:C132"/>
    <mergeCell ref="B138:C138"/>
    <mergeCell ref="A1:E1"/>
    <mergeCell ref="A5:E5"/>
    <mergeCell ref="A6:E6"/>
    <mergeCell ref="A7:E7"/>
    <mergeCell ref="A8:E8"/>
    <mergeCell ref="A2:E2"/>
    <mergeCell ref="A3:E3"/>
    <mergeCell ref="A4:E4"/>
  </mergeCells>
  <conditionalFormatting sqref="H83:H94 H96:H107">
    <cfRule type="containsText" dxfId="7" priority="45" stopIfTrue="1" operator="containsText" text="Revista cu punctaj peste 1">
      <formula>NOT(ISERROR(SEARCH("Revista cu punctaj peste 1",H83)))</formula>
    </cfRule>
    <cfRule type="containsText" dxfId="6" priority="46" stopIfTrue="1" operator="containsText" text="OK">
      <formula>NOT(ISERROR(SEARCH("OK",H83)))</formula>
    </cfRule>
  </conditionalFormatting>
  <conditionalFormatting sqref="H83:H94 H96:H107">
    <cfRule type="containsText" dxfId="5" priority="43" stopIfTrue="1" operator="containsText" text="Revista cu punctaj sub 1">
      <formula>NOT(ISERROR(SEARCH("Revista cu punctaj sub 1",H83)))</formula>
    </cfRule>
    <cfRule type="containsText" dxfId="4" priority="44" stopIfTrue="1" operator="containsText" text="OK">
      <formula>NOT(ISERROR(SEARCH("OK",H83)))</formula>
    </cfRule>
  </conditionalFormatting>
  <conditionalFormatting sqref="G54:G58 G15:G17 G19:G21 G23:G25 G28:G38 G60:G64 G126:G130">
    <cfRule type="cellIs" dxfId="3" priority="41" stopIfTrue="1" operator="equal">
      <formula>"ok"</formula>
    </cfRule>
    <cfRule type="cellIs" dxfId="2" priority="42" stopIfTrue="1" operator="equal">
      <formula>"""OK"""</formula>
    </cfRule>
  </conditionalFormatting>
  <conditionalFormatting sqref="G156">
    <cfRule type="cellIs" dxfId="1" priority="1" stopIfTrue="1" operator="equal">
      <formula>"ok"</formula>
    </cfRule>
    <cfRule type="cellIs" dxfId="0" priority="2" stopIfTrue="1" operator="equal">
      <formula>"""OK"""</formula>
    </cfRule>
  </conditionalFormatting>
  <pageMargins left="0.11811023622047245" right="0.11811023622047245" top="0.15748031496062992" bottom="0.15748031496062992" header="0.11811023622047245" footer="0.11811023622047245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101" r:id="rId12"/>
      </mc:Fallback>
    </mc:AlternateContent>
    <mc:AlternateContent xmlns:mc="http://schemas.openxmlformats.org/markup-compatibility/2006">
      <mc:Choice Requires="x14">
        <oleObject progId="Equation.3" shapeId="4102" r:id="rId14">
          <objectPr defaultSize="0" autoPict="0" r:id="rId15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102" r:id="rId14"/>
      </mc:Fallback>
    </mc:AlternateContent>
    <mc:AlternateContent xmlns:mc="http://schemas.openxmlformats.org/markup-compatibility/2006">
      <mc:Choice Requires="x14">
        <oleObject progId="Equation.3" shapeId="4103" r:id="rId16">
          <objectPr defaultSize="0" autoPict="0" r:id="rId17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103" r:id="rId16"/>
      </mc:Fallback>
    </mc:AlternateContent>
    <mc:AlternateContent xmlns:mc="http://schemas.openxmlformats.org/markup-compatibility/2006">
      <mc:Choice Requires="x14">
        <oleObject progId="Equation.3" shapeId="4104" r:id="rId18">
          <objectPr defaultSize="0" autoPict="0" r:id="rId19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104" r:id="rId18"/>
      </mc:Fallback>
    </mc:AlternateContent>
    <mc:AlternateContent xmlns:mc="http://schemas.openxmlformats.org/markup-compatibility/2006">
      <mc:Choice Requires="x14">
        <oleObject progId="Equation.3" shapeId="4105" r:id="rId20">
          <objectPr defaultSize="0" autoPict="0" r:id="rId21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105" r:id="rId20"/>
      </mc:Fallback>
    </mc:AlternateContent>
    <mc:AlternateContent xmlns:mc="http://schemas.openxmlformats.org/markup-compatibility/2006">
      <mc:Choice Requires="x14">
        <oleObject progId="Equation.3" shapeId="4106" r:id="rId22">
          <objectPr defaultSize="0" autoPict="0" r:id="rId23">
            <anchor moveWithCells="1" siz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11</xdr:row>
                <xdr:rowOff>0</xdr:rowOff>
              </to>
            </anchor>
          </objectPr>
        </oleObject>
      </mc:Choice>
      <mc:Fallback>
        <oleObject progId="Equation.3" shapeId="4106" r:id="rId22"/>
      </mc:Fallback>
    </mc:AlternateContent>
    <mc:AlternateContent xmlns:mc="http://schemas.openxmlformats.org/markup-compatibility/2006">
      <mc:Choice Requires="x14">
        <oleObject progId="Equation.3" shapeId="4107" r:id="rId24">
          <objectPr defaultSize="0" autoPict="0" r:id="rId25">
            <anchor moveWithCells="1" sizeWithCells="1">
              <from>
                <xdr:col>0</xdr:col>
                <xdr:colOff>2295525</xdr:colOff>
                <xdr:row>11</xdr:row>
                <xdr:rowOff>0</xdr:rowOff>
              </from>
              <to>
                <xdr:col>0</xdr:col>
                <xdr:colOff>3819525</xdr:colOff>
                <xdr:row>11</xdr:row>
                <xdr:rowOff>0</xdr:rowOff>
              </to>
            </anchor>
          </objectPr>
        </oleObject>
      </mc:Choice>
      <mc:Fallback>
        <oleObject progId="Equation.3" shapeId="4107" r:id="rId24"/>
      </mc:Fallback>
    </mc:AlternateContent>
    <mc:AlternateContent xmlns:mc="http://schemas.openxmlformats.org/markup-compatibility/2006">
      <mc:Choice Requires="x14">
        <oleObject progId="Equation.3" shapeId="4108" r:id="rId26">
          <objectPr defaultSize="0" autoPict="0" r:id="rId27">
            <anchor moveWithCells="1" sizeWithCells="1">
              <from>
                <xdr:col>0</xdr:col>
                <xdr:colOff>2409825</xdr:colOff>
                <xdr:row>11</xdr:row>
                <xdr:rowOff>0</xdr:rowOff>
              </from>
              <to>
                <xdr:col>0</xdr:col>
                <xdr:colOff>3790950</xdr:colOff>
                <xdr:row>11</xdr:row>
                <xdr:rowOff>0</xdr:rowOff>
              </to>
            </anchor>
          </objectPr>
        </oleObject>
      </mc:Choice>
      <mc:Fallback>
        <oleObject progId="Equation.3" shapeId="4108" r:id="rId26"/>
      </mc:Fallback>
    </mc:AlternateContent>
    <mc:AlternateContent xmlns:mc="http://schemas.openxmlformats.org/markup-compatibility/2006">
      <mc:Choice Requires="x14">
        <oleObject progId="Equation.3" shapeId="4109" r:id="rId28">
          <objectPr defaultSize="0" autoPict="0" r:id="rId29">
            <anchor moveWithCells="1" sizeWithCells="1">
              <from>
                <xdr:col>0</xdr:col>
                <xdr:colOff>2238375</xdr:colOff>
                <xdr:row>11</xdr:row>
                <xdr:rowOff>0</xdr:rowOff>
              </from>
              <to>
                <xdr:col>0</xdr:col>
                <xdr:colOff>3752850</xdr:colOff>
                <xdr:row>11</xdr:row>
                <xdr:rowOff>0</xdr:rowOff>
              </to>
            </anchor>
          </objectPr>
        </oleObject>
      </mc:Choice>
      <mc:Fallback>
        <oleObject progId="Equation.3" shapeId="4109" r:id="rId28"/>
      </mc:Fallback>
    </mc:AlternateContent>
    <mc:AlternateContent xmlns:mc="http://schemas.openxmlformats.org/markup-compatibility/2006">
      <mc:Choice Requires="x14">
        <oleObject progId="Equation.3" shapeId="4110" r:id="rId30">
          <objectPr defaultSize="0" autoPict="0" r:id="rId31">
            <anchor moveWithCells="1" sizeWithCells="1">
              <from>
                <xdr:col>0</xdr:col>
                <xdr:colOff>2333625</xdr:colOff>
                <xdr:row>11</xdr:row>
                <xdr:rowOff>0</xdr:rowOff>
              </from>
              <to>
                <xdr:col>0</xdr:col>
                <xdr:colOff>3724275</xdr:colOff>
                <xdr:row>11</xdr:row>
                <xdr:rowOff>0</xdr:rowOff>
              </to>
            </anchor>
          </objectPr>
        </oleObject>
      </mc:Choice>
      <mc:Fallback>
        <oleObject progId="Equation.3" shapeId="4110" r:id="rId30"/>
      </mc:Fallback>
    </mc:AlternateContent>
    <mc:AlternateContent xmlns:mc="http://schemas.openxmlformats.org/markup-compatibility/2006">
      <mc:Choice Requires="x14">
        <oleObject progId="Equation.3" shapeId="4111" r:id="rId32">
          <objectPr defaultSize="0" autoPict="0" r:id="rId33">
            <anchor moveWithCells="1" sizeWithCells="1">
              <from>
                <xdr:col>0</xdr:col>
                <xdr:colOff>2257425</xdr:colOff>
                <xdr:row>11</xdr:row>
                <xdr:rowOff>0</xdr:rowOff>
              </from>
              <to>
                <xdr:col>0</xdr:col>
                <xdr:colOff>3819525</xdr:colOff>
                <xdr:row>11</xdr:row>
                <xdr:rowOff>0</xdr:rowOff>
              </to>
            </anchor>
          </objectPr>
        </oleObject>
      </mc:Choice>
      <mc:Fallback>
        <oleObject progId="Equation.3" shapeId="4111" r:id="rId32"/>
      </mc:Fallback>
    </mc:AlternateContent>
    <mc:AlternateContent xmlns:mc="http://schemas.openxmlformats.org/markup-compatibility/2006">
      <mc:Choice Requires="x14">
        <oleObject progId="Equation.3" shapeId="4112" r:id="rId34">
          <objectPr defaultSize="0" autoPict="0" r:id="rId35">
            <anchor moveWithCells="1" sizeWithCells="1">
              <from>
                <xdr:col>0</xdr:col>
                <xdr:colOff>2343150</xdr:colOff>
                <xdr:row>11</xdr:row>
                <xdr:rowOff>0</xdr:rowOff>
              </from>
              <to>
                <xdr:col>0</xdr:col>
                <xdr:colOff>3819525</xdr:colOff>
                <xdr:row>11</xdr:row>
                <xdr:rowOff>0</xdr:rowOff>
              </to>
            </anchor>
          </objectPr>
        </oleObject>
      </mc:Choice>
      <mc:Fallback>
        <oleObject progId="Equation.3" shapeId="4112" r:id="rId34"/>
      </mc:Fallback>
    </mc:AlternateContent>
    <mc:AlternateContent xmlns:mc="http://schemas.openxmlformats.org/markup-compatibility/2006">
      <mc:Choice Requires="x14">
        <oleObject progId="Equation.3" shapeId="4113" r:id="rId36">
          <objectPr defaultSize="0" autoPict="0" r:id="rId37">
            <anchor moveWithCells="1" sizeWithCells="1">
              <from>
                <xdr:col>0</xdr:col>
                <xdr:colOff>2171700</xdr:colOff>
                <xdr:row>11</xdr:row>
                <xdr:rowOff>0</xdr:rowOff>
              </from>
              <to>
                <xdr:col>0</xdr:col>
                <xdr:colOff>3819525</xdr:colOff>
                <xdr:row>11</xdr:row>
                <xdr:rowOff>0</xdr:rowOff>
              </to>
            </anchor>
          </objectPr>
        </oleObject>
      </mc:Choice>
      <mc:Fallback>
        <oleObject progId="Equation.3" shapeId="4113" r:id="rId36"/>
      </mc:Fallback>
    </mc:AlternateContent>
    <mc:AlternateContent xmlns:mc="http://schemas.openxmlformats.org/markup-compatibility/2006">
      <mc:Choice Requires="x14">
        <oleObject progId="Equation.3" shapeId="4114" r:id="rId38">
          <objectPr defaultSize="0" autoPict="0" r:id="rId39">
            <anchor moveWithCells="1" sizeWithCells="1">
              <from>
                <xdr:col>0</xdr:col>
                <xdr:colOff>2247900</xdr:colOff>
                <xdr:row>11</xdr:row>
                <xdr:rowOff>0</xdr:rowOff>
              </from>
              <to>
                <xdr:col>0</xdr:col>
                <xdr:colOff>3819525</xdr:colOff>
                <xdr:row>11</xdr:row>
                <xdr:rowOff>0</xdr:rowOff>
              </to>
            </anchor>
          </objectPr>
        </oleObject>
      </mc:Choice>
      <mc:Fallback>
        <oleObject progId="Equation.3" shapeId="4114" r:id="rId38"/>
      </mc:Fallback>
    </mc:AlternateContent>
    <mc:AlternateContent xmlns:mc="http://schemas.openxmlformats.org/markup-compatibility/2006">
      <mc:Choice Requires="x14">
        <oleObject progId="Equation.3" shapeId="4115" r:id="rId40">
          <objectPr defaultSize="0" autoPict="0" r:id="rId41">
            <anchor moveWithCells="1" sizeWithCells="1">
              <from>
                <xdr:col>0</xdr:col>
                <xdr:colOff>1885950</xdr:colOff>
                <xdr:row>11</xdr:row>
                <xdr:rowOff>0</xdr:rowOff>
              </from>
              <to>
                <xdr:col>0</xdr:col>
                <xdr:colOff>3819525</xdr:colOff>
                <xdr:row>11</xdr:row>
                <xdr:rowOff>0</xdr:rowOff>
              </to>
            </anchor>
          </objectPr>
        </oleObject>
      </mc:Choice>
      <mc:Fallback>
        <oleObject progId="Equation.3" shapeId="4115" r:id="rId40"/>
      </mc:Fallback>
    </mc:AlternateContent>
    <mc:AlternateContent xmlns:mc="http://schemas.openxmlformats.org/markup-compatibility/2006">
      <mc:Choice Requires="x14">
        <oleObject progId="Equation.3" shapeId="4116" r:id="rId42">
          <objectPr defaultSize="0" autoPict="0" r:id="rId43">
            <anchor moveWithCells="1" sizeWithCells="1">
              <from>
                <xdr:col>0</xdr:col>
                <xdr:colOff>1905000</xdr:colOff>
                <xdr:row>11</xdr:row>
                <xdr:rowOff>0</xdr:rowOff>
              </from>
              <to>
                <xdr:col>0</xdr:col>
                <xdr:colOff>3819525</xdr:colOff>
                <xdr:row>11</xdr:row>
                <xdr:rowOff>0</xdr:rowOff>
              </to>
            </anchor>
          </objectPr>
        </oleObject>
      </mc:Choice>
      <mc:Fallback>
        <oleObject progId="Equation.3" shapeId="4116" r:id="rId4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6"/>
  <sheetViews>
    <sheetView workbookViewId="0">
      <selection activeCell="D7" sqref="D7"/>
    </sheetView>
  </sheetViews>
  <sheetFormatPr defaultRowHeight="15" x14ac:dyDescent="0.25"/>
  <cols>
    <col min="2" max="2" width="63.7109375" customWidth="1"/>
  </cols>
  <sheetData>
    <row r="3" spans="2:2" x14ac:dyDescent="0.25">
      <c r="B3" t="s">
        <v>397</v>
      </c>
    </row>
    <row r="4" spans="2:2" x14ac:dyDescent="0.25">
      <c r="B4" t="s">
        <v>398</v>
      </c>
    </row>
    <row r="5" spans="2:2" x14ac:dyDescent="0.25">
      <c r="B5" t="s">
        <v>399</v>
      </c>
    </row>
    <row r="6" spans="2:2" x14ac:dyDescent="0.25">
      <c r="B6" t="s">
        <v>400</v>
      </c>
    </row>
    <row r="9" spans="2:2" x14ac:dyDescent="0.25">
      <c r="B9" t="s">
        <v>401</v>
      </c>
    </row>
    <row r="10" spans="2:2" x14ac:dyDescent="0.25">
      <c r="B10" t="s">
        <v>402</v>
      </c>
    </row>
    <row r="11" spans="2:2" x14ac:dyDescent="0.25">
      <c r="B11" t="s">
        <v>403</v>
      </c>
    </row>
    <row r="12" spans="2:2" x14ac:dyDescent="0.25">
      <c r="B12" t="s">
        <v>404</v>
      </c>
    </row>
    <row r="13" spans="2:2" x14ac:dyDescent="0.25">
      <c r="B13" t="s">
        <v>405</v>
      </c>
    </row>
    <row r="14" spans="2:2" x14ac:dyDescent="0.25">
      <c r="B14" t="s">
        <v>406</v>
      </c>
    </row>
    <row r="15" spans="2:2" x14ac:dyDescent="0.25">
      <c r="B15" t="s">
        <v>407</v>
      </c>
    </row>
    <row r="16" spans="2:2" x14ac:dyDescent="0.25">
      <c r="B16" t="s">
        <v>408</v>
      </c>
    </row>
    <row r="17" spans="2:2" x14ac:dyDescent="0.25">
      <c r="B17" t="s">
        <v>409</v>
      </c>
    </row>
    <row r="18" spans="2:2" x14ac:dyDescent="0.25">
      <c r="B18" t="s">
        <v>410</v>
      </c>
    </row>
    <row r="19" spans="2:2" x14ac:dyDescent="0.25">
      <c r="B19" t="s">
        <v>411</v>
      </c>
    </row>
    <row r="22" spans="2:2" x14ac:dyDescent="0.25">
      <c r="B22" t="s">
        <v>412</v>
      </c>
    </row>
    <row r="23" spans="2:2" x14ac:dyDescent="0.25">
      <c r="B23" t="s">
        <v>413</v>
      </c>
    </row>
    <row r="24" spans="2:2" x14ac:dyDescent="0.25">
      <c r="B24" t="s">
        <v>414</v>
      </c>
    </row>
    <row r="25" spans="2:2" x14ac:dyDescent="0.25">
      <c r="B25" t="s">
        <v>415</v>
      </c>
    </row>
    <row r="26" spans="2:2" x14ac:dyDescent="0.25">
      <c r="B26" t="s">
        <v>416</v>
      </c>
    </row>
  </sheetData>
  <sheetProtection password="CBB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fisa word</vt:lpstr>
      <vt:lpstr>A. Activitate didactica</vt:lpstr>
      <vt:lpstr>B. Activitate de cercetare</vt:lpstr>
      <vt:lpstr>C. Prestigiu profesional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User</cp:lastModifiedBy>
  <cp:lastPrinted>2021-10-18T07:37:41Z</cp:lastPrinted>
  <dcterms:created xsi:type="dcterms:W3CDTF">2014-02-06T08:04:01Z</dcterms:created>
  <dcterms:modified xsi:type="dcterms:W3CDTF">2021-10-18T08:24:14Z</dcterms:modified>
</cp:coreProperties>
</file>