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drawings/drawing2.xml" ContentType="application/vnd.openxmlformats-officedocument.drawing+xml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fisa word" sheetId="4" r:id="rId1"/>
    <sheet name="A. Activitate didactica" sheetId="1" r:id="rId2"/>
    <sheet name="B. Activitate de cercetare" sheetId="5" r:id="rId3"/>
    <sheet name="C. Prestigiu profesional" sheetId="6" r:id="rId4"/>
    <sheet name="Sheet1" sheetId="7" r:id="rId5"/>
  </sheets>
  <calcPr calcId="144525"/>
</workbook>
</file>

<file path=xl/calcChain.xml><?xml version="1.0" encoding="utf-8"?>
<calcChain xmlns="http://schemas.openxmlformats.org/spreadsheetml/2006/main">
  <c r="C134" i="4" l="1"/>
  <c r="E62" i="6"/>
  <c r="B133" i="4" s="1"/>
  <c r="E71" i="6"/>
  <c r="B134" i="4" s="1"/>
  <c r="F73" i="6"/>
  <c r="F74" i="6"/>
  <c r="F71" i="6" s="1"/>
  <c r="F75" i="6"/>
  <c r="F76" i="6"/>
  <c r="F72" i="6"/>
  <c r="F64" i="6"/>
  <c r="F65" i="6"/>
  <c r="F66" i="6"/>
  <c r="F67" i="6"/>
  <c r="F62" i="6" s="1"/>
  <c r="C133" i="4" s="1"/>
  <c r="F68" i="6"/>
  <c r="F69" i="6"/>
  <c r="F70" i="6"/>
  <c r="H190" i="6" l="1"/>
  <c r="H191" i="6"/>
  <c r="H192" i="6"/>
  <c r="F192" i="6"/>
  <c r="F191" i="6"/>
  <c r="F188" i="6"/>
  <c r="F190" i="6"/>
  <c r="F161" i="6" l="1"/>
  <c r="D157" i="6"/>
  <c r="F157" i="6"/>
  <c r="F158" i="6"/>
  <c r="H49" i="5"/>
  <c r="D82" i="6" l="1"/>
  <c r="F250" i="6"/>
  <c r="F243" i="6"/>
  <c r="F241" i="6"/>
  <c r="F195" i="6"/>
  <c r="I88" i="6"/>
  <c r="I83" i="6"/>
  <c r="H461" i="5"/>
  <c r="H455" i="5"/>
  <c r="H405" i="5"/>
  <c r="H383" i="5"/>
  <c r="H371" i="5"/>
  <c r="H338" i="5"/>
  <c r="H218" i="5"/>
  <c r="H200" i="5"/>
  <c r="H166" i="5"/>
  <c r="H160" i="5"/>
  <c r="H123" i="5"/>
  <c r="J104" i="5"/>
  <c r="H104" i="5"/>
  <c r="H94" i="5"/>
  <c r="H86" i="5"/>
  <c r="G32" i="5"/>
  <c r="H38" i="5"/>
  <c r="H18" i="5"/>
  <c r="H161" i="1"/>
  <c r="H116" i="1"/>
  <c r="H111" i="1"/>
  <c r="H89" i="1"/>
  <c r="H81" i="1"/>
  <c r="H73" i="1"/>
  <c r="H67" i="1"/>
  <c r="H54" i="1"/>
  <c r="H48" i="1"/>
  <c r="H42" i="1"/>
  <c r="H30" i="1"/>
  <c r="H19" i="1"/>
  <c r="H11" i="1"/>
  <c r="C19" i="4" s="1"/>
  <c r="H13" i="1"/>
  <c r="H12" i="1" s="1"/>
  <c r="H129" i="1" s="1"/>
  <c r="H17" i="1"/>
  <c r="C20" i="4" s="1"/>
  <c r="E217" i="6"/>
  <c r="B5" i="4"/>
  <c r="B4" i="4"/>
  <c r="F230" i="6"/>
  <c r="F229" i="6" s="1"/>
  <c r="F228" i="6"/>
  <c r="F200" i="6"/>
  <c r="F194" i="6"/>
  <c r="E254" i="6"/>
  <c r="F256" i="6"/>
  <c r="F257" i="6"/>
  <c r="F255" i="6"/>
  <c r="F239" i="6"/>
  <c r="C173" i="4" s="1"/>
  <c r="F238" i="6"/>
  <c r="E237" i="6"/>
  <c r="F236" i="6"/>
  <c r="F235" i="6" s="1"/>
  <c r="C170" i="4" s="1"/>
  <c r="F234" i="6"/>
  <c r="F233" i="6"/>
  <c r="F232" i="6"/>
  <c r="E222" i="6"/>
  <c r="F220" i="6"/>
  <c r="H218" i="6"/>
  <c r="F218" i="6"/>
  <c r="F208" i="6"/>
  <c r="F174" i="6"/>
  <c r="F175" i="6"/>
  <c r="F173" i="6"/>
  <c r="F170" i="6"/>
  <c r="F171" i="6"/>
  <c r="F169" i="6"/>
  <c r="D172" i="6"/>
  <c r="B149" i="4" s="1"/>
  <c r="D168" i="6"/>
  <c r="B148" i="4" s="1"/>
  <c r="D158" i="6"/>
  <c r="D163" i="6"/>
  <c r="I160" i="6"/>
  <c r="F160" i="6"/>
  <c r="I166" i="6"/>
  <c r="I167" i="6"/>
  <c r="I165" i="6"/>
  <c r="F166" i="6"/>
  <c r="F167" i="6"/>
  <c r="F165" i="6"/>
  <c r="F131" i="6"/>
  <c r="D116" i="6"/>
  <c r="F119" i="6"/>
  <c r="F101" i="6"/>
  <c r="F84" i="6"/>
  <c r="H59" i="6"/>
  <c r="H60" i="6"/>
  <c r="H61" i="6"/>
  <c r="H58" i="6"/>
  <c r="F58" i="6"/>
  <c r="F59" i="6"/>
  <c r="F60" i="6"/>
  <c r="F61" i="6"/>
  <c r="F57" i="6"/>
  <c r="E37" i="6"/>
  <c r="F237" i="6" l="1"/>
  <c r="C171" i="4" s="1"/>
  <c r="F172" i="6"/>
  <c r="C149" i="4" s="1"/>
  <c r="B146" i="4"/>
  <c r="C172" i="4"/>
  <c r="F168" i="6"/>
  <c r="C148" i="4" s="1"/>
  <c r="G65" i="5"/>
  <c r="G66" i="5"/>
  <c r="G11" i="5"/>
  <c r="H67" i="5"/>
  <c r="H66" i="5" s="1"/>
  <c r="H68" i="5"/>
  <c r="H65" i="5" s="1"/>
  <c r="H69" i="5"/>
  <c r="H70" i="5"/>
  <c r="H71" i="5"/>
  <c r="H72" i="5"/>
  <c r="G57" i="5"/>
  <c r="B59" i="4"/>
  <c r="H34" i="5"/>
  <c r="H35" i="5"/>
  <c r="H36" i="5"/>
  <c r="H37" i="5"/>
  <c r="H39" i="5"/>
  <c r="H40" i="5"/>
  <c r="H41" i="5"/>
  <c r="H42" i="5"/>
  <c r="H43" i="5"/>
  <c r="H44" i="5"/>
  <c r="H45" i="5"/>
  <c r="H46" i="5"/>
  <c r="H47" i="5"/>
  <c r="H48" i="5"/>
  <c r="H50" i="5"/>
  <c r="H51" i="5"/>
  <c r="H52" i="5"/>
  <c r="H53" i="5"/>
  <c r="H33" i="5"/>
  <c r="H14" i="5"/>
  <c r="H15" i="5"/>
  <c r="H16" i="5"/>
  <c r="H17" i="5"/>
  <c r="H19" i="5"/>
  <c r="H20" i="5"/>
  <c r="H21" i="5"/>
  <c r="H22" i="5"/>
  <c r="H23" i="5"/>
  <c r="H24" i="5"/>
  <c r="H25" i="5"/>
  <c r="H26" i="5"/>
  <c r="H27" i="5"/>
  <c r="H28" i="5"/>
  <c r="H29" i="5"/>
  <c r="H30" i="5"/>
  <c r="H13" i="5"/>
  <c r="G59" i="1"/>
  <c r="G58" i="1"/>
  <c r="H72" i="1"/>
  <c r="H68" i="1"/>
  <c r="H69" i="1"/>
  <c r="H66" i="1"/>
  <c r="H61" i="1"/>
  <c r="H58" i="1" s="1"/>
  <c r="H62" i="1"/>
  <c r="H63" i="1"/>
  <c r="H60" i="1"/>
  <c r="H59" i="1"/>
  <c r="G64" i="5" l="1"/>
  <c r="B60" i="4" s="1"/>
  <c r="H64" i="5"/>
  <c r="C60" i="4" s="1"/>
  <c r="F205" i="6"/>
  <c r="F99" i="6" l="1"/>
  <c r="F100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98" i="6"/>
  <c r="F85" i="6"/>
  <c r="F86" i="6"/>
  <c r="F87" i="6"/>
  <c r="F88" i="6"/>
  <c r="F89" i="6"/>
  <c r="F90" i="6"/>
  <c r="F91" i="6"/>
  <c r="F92" i="6"/>
  <c r="F93" i="6"/>
  <c r="F94" i="6"/>
  <c r="F95" i="6"/>
  <c r="F96" i="6"/>
  <c r="F83" i="6"/>
  <c r="H305" i="5"/>
  <c r="H306" i="5"/>
  <c r="H307" i="5"/>
  <c r="H303" i="5" s="1"/>
  <c r="H441" i="5" s="1"/>
  <c r="H308" i="5"/>
  <c r="H309" i="5"/>
  <c r="H310" i="5"/>
  <c r="H311" i="5"/>
  <c r="H304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58" i="5"/>
  <c r="H226" i="5"/>
  <c r="H227" i="5"/>
  <c r="H228" i="5"/>
  <c r="H229" i="5"/>
  <c r="H230" i="5"/>
  <c r="H231" i="5"/>
  <c r="H232" i="5"/>
  <c r="H233" i="5"/>
  <c r="H225" i="5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20" i="6"/>
  <c r="F121" i="6"/>
  <c r="F122" i="6"/>
  <c r="F123" i="6"/>
  <c r="F124" i="6"/>
  <c r="F125" i="6"/>
  <c r="F126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86" i="6"/>
  <c r="I87" i="6"/>
  <c r="I89" i="6"/>
  <c r="I90" i="6"/>
  <c r="I91" i="6"/>
  <c r="I92" i="6"/>
  <c r="I93" i="6"/>
  <c r="I94" i="6"/>
  <c r="H59" i="5"/>
  <c r="H60" i="5"/>
  <c r="H61" i="5"/>
  <c r="H62" i="5"/>
  <c r="C5" i="1"/>
  <c r="C4" i="1"/>
  <c r="C5" i="5"/>
  <c r="C4" i="5"/>
  <c r="H471" i="5"/>
  <c r="H472" i="5"/>
  <c r="H473" i="5"/>
  <c r="H474" i="5"/>
  <c r="H412" i="5"/>
  <c r="H413" i="5"/>
  <c r="H414" i="5"/>
  <c r="H415" i="5"/>
  <c r="H416" i="5"/>
  <c r="H402" i="5"/>
  <c r="H403" i="5"/>
  <c r="H404" i="5"/>
  <c r="H406" i="5"/>
  <c r="H393" i="5"/>
  <c r="H394" i="5"/>
  <c r="H395" i="5"/>
  <c r="H396" i="5"/>
  <c r="H380" i="5"/>
  <c r="H381" i="5"/>
  <c r="H382" i="5"/>
  <c r="H384" i="5"/>
  <c r="H385" i="5"/>
  <c r="H386" i="5"/>
  <c r="H368" i="5"/>
  <c r="H369" i="5"/>
  <c r="H370" i="5"/>
  <c r="H372" i="5"/>
  <c r="H373" i="5"/>
  <c r="H374" i="5"/>
  <c r="H357" i="5"/>
  <c r="H358" i="5"/>
  <c r="H359" i="5"/>
  <c r="H360" i="5"/>
  <c r="H361" i="5"/>
  <c r="H362" i="5"/>
  <c r="H346" i="5"/>
  <c r="H347" i="5"/>
  <c r="H348" i="5"/>
  <c r="H349" i="5"/>
  <c r="H350" i="5"/>
  <c r="H336" i="5"/>
  <c r="H337" i="5"/>
  <c r="H339" i="5"/>
  <c r="H340" i="5"/>
  <c r="H326" i="5"/>
  <c r="H327" i="5"/>
  <c r="H328" i="5"/>
  <c r="H329" i="5"/>
  <c r="H330" i="5"/>
  <c r="H315" i="5"/>
  <c r="H316" i="5"/>
  <c r="H317" i="5"/>
  <c r="H318" i="5"/>
  <c r="H319" i="5"/>
  <c r="H296" i="5"/>
  <c r="H297" i="5"/>
  <c r="H298" i="5"/>
  <c r="H299" i="5"/>
  <c r="H300" i="5"/>
  <c r="H285" i="5"/>
  <c r="H286" i="5"/>
  <c r="H287" i="5"/>
  <c r="H288" i="5"/>
  <c r="H289" i="5"/>
  <c r="H274" i="5"/>
  <c r="H275" i="5"/>
  <c r="H276" i="5"/>
  <c r="H277" i="5"/>
  <c r="H278" i="5"/>
  <c r="H279" i="5"/>
  <c r="K259" i="5"/>
  <c r="K260" i="5"/>
  <c r="K261" i="5"/>
  <c r="K262" i="5"/>
  <c r="K263" i="5"/>
  <c r="K264" i="5"/>
  <c r="K265" i="5"/>
  <c r="K266" i="5"/>
  <c r="K267" i="5"/>
  <c r="K268" i="5"/>
  <c r="H248" i="5"/>
  <c r="K248" i="5"/>
  <c r="H249" i="5"/>
  <c r="K249" i="5"/>
  <c r="H250" i="5"/>
  <c r="K250" i="5"/>
  <c r="H251" i="5"/>
  <c r="K251" i="5"/>
  <c r="H252" i="5"/>
  <c r="K252" i="5"/>
  <c r="H253" i="5"/>
  <c r="K253" i="5"/>
  <c r="H237" i="5"/>
  <c r="H238" i="5"/>
  <c r="H239" i="5"/>
  <c r="H240" i="5"/>
  <c r="H241" i="5"/>
  <c r="K226" i="5"/>
  <c r="K227" i="5"/>
  <c r="K228" i="5"/>
  <c r="K229" i="5"/>
  <c r="K230" i="5"/>
  <c r="K231" i="5"/>
  <c r="H217" i="5"/>
  <c r="K217" i="5"/>
  <c r="H215" i="5"/>
  <c r="H433" i="5" s="1"/>
  <c r="K218" i="5"/>
  <c r="H219" i="5"/>
  <c r="K219" i="5"/>
  <c r="H220" i="5"/>
  <c r="K220" i="5"/>
  <c r="H207" i="5"/>
  <c r="H208" i="5"/>
  <c r="H209" i="5"/>
  <c r="H210" i="5"/>
  <c r="H197" i="5"/>
  <c r="H198" i="5"/>
  <c r="H199" i="5"/>
  <c r="H201" i="5"/>
  <c r="H189" i="5"/>
  <c r="H190" i="5"/>
  <c r="H191" i="5"/>
  <c r="H175" i="5"/>
  <c r="H177" i="5"/>
  <c r="H178" i="5"/>
  <c r="H179" i="5"/>
  <c r="H180" i="5"/>
  <c r="H181" i="5"/>
  <c r="H164" i="5"/>
  <c r="H167" i="5"/>
  <c r="H168" i="5"/>
  <c r="H169" i="5"/>
  <c r="H170" i="5"/>
  <c r="H171" i="5"/>
  <c r="H172" i="5"/>
  <c r="H157" i="5"/>
  <c r="H158" i="5"/>
  <c r="H159" i="5"/>
  <c r="H139" i="5"/>
  <c r="H140" i="5"/>
  <c r="H141" i="5"/>
  <c r="H142" i="5"/>
  <c r="H143" i="5"/>
  <c r="H144" i="5"/>
  <c r="H145" i="5"/>
  <c r="H146" i="5"/>
  <c r="H147" i="5"/>
  <c r="H148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H122" i="5"/>
  <c r="H124" i="5"/>
  <c r="H125" i="5"/>
  <c r="H126" i="5"/>
  <c r="H127" i="5"/>
  <c r="H128" i="5"/>
  <c r="H129" i="5"/>
  <c r="H130" i="5"/>
  <c r="H131" i="5"/>
  <c r="H132" i="5"/>
  <c r="H133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76" i="5"/>
  <c r="H421" i="5" s="1"/>
  <c r="H78" i="5"/>
  <c r="H79" i="5"/>
  <c r="H80" i="5"/>
  <c r="H81" i="5"/>
  <c r="H93" i="5"/>
  <c r="H95" i="5"/>
  <c r="H96" i="5"/>
  <c r="H87" i="5"/>
  <c r="H84" i="5" s="1"/>
  <c r="H422" i="5" s="1"/>
  <c r="H196" i="1"/>
  <c r="H194" i="1" s="1"/>
  <c r="H212" i="1" s="1"/>
  <c r="H197" i="1"/>
  <c r="H198" i="1"/>
  <c r="H199" i="1"/>
  <c r="H200" i="1"/>
  <c r="H201" i="1"/>
  <c r="H187" i="1"/>
  <c r="H183" i="1" s="1"/>
  <c r="C48" i="4" s="1"/>
  <c r="H188" i="1"/>
  <c r="H189" i="1"/>
  <c r="H190" i="1"/>
  <c r="H191" i="1"/>
  <c r="H169" i="1"/>
  <c r="H170" i="1"/>
  <c r="H171" i="1"/>
  <c r="H172" i="1"/>
  <c r="H173" i="1"/>
  <c r="H160" i="1"/>
  <c r="H158" i="1" s="1"/>
  <c r="H207" i="1" s="1"/>
  <c r="H162" i="1"/>
  <c r="H98" i="1"/>
  <c r="H99" i="1"/>
  <c r="H100" i="1"/>
  <c r="H101" i="1"/>
  <c r="H102" i="1"/>
  <c r="H103" i="1"/>
  <c r="H87" i="1"/>
  <c r="H88" i="1"/>
  <c r="H90" i="1"/>
  <c r="H91" i="1"/>
  <c r="H92" i="1"/>
  <c r="H29" i="1"/>
  <c r="H131" i="1" s="1"/>
  <c r="H32" i="1"/>
  <c r="H33" i="1"/>
  <c r="H34" i="1"/>
  <c r="H35" i="1"/>
  <c r="H36" i="1"/>
  <c r="H18" i="1"/>
  <c r="H21" i="1"/>
  <c r="H22" i="1"/>
  <c r="H23" i="1"/>
  <c r="H24" i="1"/>
  <c r="H25" i="1"/>
  <c r="H26" i="1"/>
  <c r="F247" i="6"/>
  <c r="F246" i="6"/>
  <c r="F244" i="6" s="1"/>
  <c r="C176" i="4" s="1"/>
  <c r="F245" i="6"/>
  <c r="E244" i="6"/>
  <c r="B176" i="4" s="1"/>
  <c r="F242" i="6"/>
  <c r="C175" i="4" s="1"/>
  <c r="F240" i="6"/>
  <c r="C169" i="4"/>
  <c r="C168" i="4"/>
  <c r="C167" i="4"/>
  <c r="C165" i="4"/>
  <c r="F227" i="6"/>
  <c r="C164" i="4" s="1"/>
  <c r="H320" i="5"/>
  <c r="H321" i="5"/>
  <c r="H314" i="5"/>
  <c r="H271" i="5"/>
  <c r="C88" i="4" s="1"/>
  <c r="H272" i="5"/>
  <c r="H438" i="5" s="1"/>
  <c r="G282" i="5"/>
  <c r="B89" i="4" s="1"/>
  <c r="G283" i="5"/>
  <c r="G439" i="5" s="1"/>
  <c r="H283" i="5"/>
  <c r="H439" i="5" s="1"/>
  <c r="H282" i="5"/>
  <c r="C89" i="4" s="1"/>
  <c r="H290" i="5"/>
  <c r="H291" i="5"/>
  <c r="H284" i="5"/>
  <c r="H280" i="5"/>
  <c r="H281" i="5"/>
  <c r="H273" i="5"/>
  <c r="G271" i="5"/>
  <c r="B88" i="4" s="1"/>
  <c r="G272" i="5"/>
  <c r="G438" i="5" s="1"/>
  <c r="B9" i="4"/>
  <c r="G3" i="5" s="1"/>
  <c r="B161" i="4"/>
  <c r="B136" i="4"/>
  <c r="B137" i="4"/>
  <c r="B138" i="4"/>
  <c r="F78" i="6"/>
  <c r="C136" i="4" s="1"/>
  <c r="G489" i="5"/>
  <c r="B118" i="4" s="1"/>
  <c r="G484" i="5"/>
  <c r="B179" i="4"/>
  <c r="E249" i="6"/>
  <c r="B178" i="4" s="1"/>
  <c r="B163" i="4"/>
  <c r="E219" i="6"/>
  <c r="B162" i="4" s="1"/>
  <c r="E206" i="6"/>
  <c r="B158" i="4" s="1"/>
  <c r="E193" i="6"/>
  <c r="B155" i="4" s="1"/>
  <c r="E182" i="6"/>
  <c r="B153" i="4" s="1"/>
  <c r="E178" i="6"/>
  <c r="B152" i="4" s="1"/>
  <c r="D129" i="6"/>
  <c r="B143" i="4" s="1"/>
  <c r="B142" i="4"/>
  <c r="D97" i="6"/>
  <c r="B140" i="4"/>
  <c r="E56" i="6"/>
  <c r="B132" i="4" s="1"/>
  <c r="E50" i="6"/>
  <c r="E43" i="6"/>
  <c r="B129" i="4" s="1"/>
  <c r="B128" i="4"/>
  <c r="E30" i="6"/>
  <c r="B126" i="4"/>
  <c r="E24" i="6"/>
  <c r="B125" i="4" s="1"/>
  <c r="E19" i="6"/>
  <c r="B123" i="4" s="1"/>
  <c r="E15" i="6"/>
  <c r="B122" i="4" s="1"/>
  <c r="E11" i="6"/>
  <c r="B121" i="4" s="1"/>
  <c r="G477" i="5"/>
  <c r="B114" i="4" s="1"/>
  <c r="G469" i="5"/>
  <c r="B113" i="4" s="1"/>
  <c r="G463" i="5"/>
  <c r="B111" i="4" s="1"/>
  <c r="G458" i="5"/>
  <c r="B110" i="4" s="1"/>
  <c r="G453" i="5"/>
  <c r="B109" i="4" s="1"/>
  <c r="F217" i="6"/>
  <c r="C161" i="4" s="1"/>
  <c r="F224" i="6"/>
  <c r="F225" i="6"/>
  <c r="F226" i="6"/>
  <c r="F223" i="6"/>
  <c r="F222" i="6" s="1"/>
  <c r="C163" i="4" s="1"/>
  <c r="F189" i="6"/>
  <c r="F186" i="6" s="1"/>
  <c r="H188" i="6"/>
  <c r="F164" i="6"/>
  <c r="F163" i="6" s="1"/>
  <c r="F159" i="6"/>
  <c r="F162" i="6"/>
  <c r="I161" i="6"/>
  <c r="I162" i="6"/>
  <c r="I159" i="6"/>
  <c r="I164" i="6"/>
  <c r="I113" i="6"/>
  <c r="I114" i="6"/>
  <c r="I115" i="6"/>
  <c r="F156" i="6"/>
  <c r="F130" i="6"/>
  <c r="F118" i="6"/>
  <c r="F127" i="6"/>
  <c r="F128" i="6"/>
  <c r="F117" i="6"/>
  <c r="F63" i="6"/>
  <c r="F25" i="6"/>
  <c r="F21" i="6"/>
  <c r="F22" i="6"/>
  <c r="F20" i="6"/>
  <c r="F17" i="6"/>
  <c r="F18" i="6"/>
  <c r="F16" i="6"/>
  <c r="F13" i="6"/>
  <c r="F14" i="6"/>
  <c r="F12" i="6"/>
  <c r="H13" i="6"/>
  <c r="H14" i="6"/>
  <c r="H491" i="5"/>
  <c r="H492" i="5"/>
  <c r="H493" i="5"/>
  <c r="H490" i="5"/>
  <c r="H486" i="5"/>
  <c r="H487" i="5"/>
  <c r="H488" i="5"/>
  <c r="H485" i="5"/>
  <c r="H479" i="5"/>
  <c r="H480" i="5"/>
  <c r="H481" i="5"/>
  <c r="H478" i="5"/>
  <c r="H475" i="5"/>
  <c r="H476" i="5"/>
  <c r="H470" i="5"/>
  <c r="H465" i="5"/>
  <c r="H466" i="5"/>
  <c r="H467" i="5"/>
  <c r="H464" i="5"/>
  <c r="H460" i="5"/>
  <c r="H462" i="5"/>
  <c r="H459" i="5"/>
  <c r="H456" i="5"/>
  <c r="H457" i="5"/>
  <c r="H454" i="5"/>
  <c r="H407" i="5"/>
  <c r="H302" i="5"/>
  <c r="C92" i="4" s="1"/>
  <c r="H293" i="5"/>
  <c r="C91" i="4" s="1"/>
  <c r="H301" i="5"/>
  <c r="H295" i="5"/>
  <c r="H313" i="5"/>
  <c r="H442" i="5" s="1"/>
  <c r="G313" i="5"/>
  <c r="G442" i="5" s="1"/>
  <c r="H312" i="5"/>
  <c r="C93" i="4" s="1"/>
  <c r="G312" i="5"/>
  <c r="B93" i="4" s="1"/>
  <c r="G303" i="5"/>
  <c r="G441" i="5" s="1"/>
  <c r="G302" i="5"/>
  <c r="H294" i="5"/>
  <c r="H440" i="5" s="1"/>
  <c r="G294" i="5"/>
  <c r="G440" i="5" s="1"/>
  <c r="G293" i="5"/>
  <c r="B91" i="4" s="1"/>
  <c r="H247" i="5"/>
  <c r="K247" i="5"/>
  <c r="H256" i="5"/>
  <c r="C87" i="4" s="1"/>
  <c r="H257" i="5"/>
  <c r="H437" i="5" s="1"/>
  <c r="H254" i="5"/>
  <c r="H255" i="5"/>
  <c r="G257" i="5"/>
  <c r="G437" i="5" s="1"/>
  <c r="G256" i="5"/>
  <c r="B87" i="4" s="1"/>
  <c r="H246" i="5"/>
  <c r="H436" i="5" s="1"/>
  <c r="G246" i="5"/>
  <c r="G436" i="5" s="1"/>
  <c r="H245" i="5"/>
  <c r="C86" i="4" s="1"/>
  <c r="G245" i="5"/>
  <c r="B86" i="4" s="1"/>
  <c r="K270" i="5"/>
  <c r="K254" i="5"/>
  <c r="K255" i="5"/>
  <c r="K258" i="5"/>
  <c r="K269" i="5"/>
  <c r="H216" i="5"/>
  <c r="H221" i="5"/>
  <c r="H214" i="5"/>
  <c r="C82" i="4" s="1"/>
  <c r="H222" i="5"/>
  <c r="H223" i="5"/>
  <c r="C83" i="4" s="1"/>
  <c r="H236" i="5"/>
  <c r="H235" i="5"/>
  <c r="H435" i="5" s="1"/>
  <c r="G235" i="5"/>
  <c r="G435" i="5" s="1"/>
  <c r="G234" i="5"/>
  <c r="B84" i="4" s="1"/>
  <c r="G224" i="5"/>
  <c r="G434" i="5" s="1"/>
  <c r="G223" i="5"/>
  <c r="B83" i="4" s="1"/>
  <c r="K221" i="5"/>
  <c r="K222" i="5"/>
  <c r="K225" i="5"/>
  <c r="K232" i="5"/>
  <c r="K233" i="5"/>
  <c r="K216" i="5"/>
  <c r="G215" i="5"/>
  <c r="G433" i="5" s="1"/>
  <c r="G214" i="5"/>
  <c r="B82" i="4" s="1"/>
  <c r="H390" i="5"/>
  <c r="C103" i="4" s="1"/>
  <c r="H397" i="5"/>
  <c r="H398" i="5"/>
  <c r="H392" i="5"/>
  <c r="H391" i="5"/>
  <c r="H449" i="5" s="1"/>
  <c r="H399" i="5"/>
  <c r="H408" i="5"/>
  <c r="H401" i="5"/>
  <c r="H400" i="5"/>
  <c r="H450" i="5" s="1"/>
  <c r="H417" i="5"/>
  <c r="H418" i="5"/>
  <c r="H411" i="5"/>
  <c r="H410" i="5"/>
  <c r="H451" i="5" s="1"/>
  <c r="G410" i="5"/>
  <c r="G451" i="5" s="1"/>
  <c r="H409" i="5"/>
  <c r="C105" i="4" s="1"/>
  <c r="G409" i="5"/>
  <c r="B105" i="4" s="1"/>
  <c r="G400" i="5"/>
  <c r="G450" i="5" s="1"/>
  <c r="G399" i="5"/>
  <c r="B104" i="4" s="1"/>
  <c r="G391" i="5"/>
  <c r="G449" i="5" s="1"/>
  <c r="G390" i="5"/>
  <c r="B103" i="4" s="1"/>
  <c r="H363" i="5"/>
  <c r="H364" i="5"/>
  <c r="H356" i="5"/>
  <c r="H375" i="5"/>
  <c r="H376" i="5"/>
  <c r="H367" i="5"/>
  <c r="H387" i="5"/>
  <c r="H388" i="5"/>
  <c r="H379" i="5"/>
  <c r="H378" i="5"/>
  <c r="H448" i="5" s="1"/>
  <c r="G378" i="5"/>
  <c r="G448" i="5" s="1"/>
  <c r="H377" i="5"/>
  <c r="C101" i="4" s="1"/>
  <c r="G377" i="5"/>
  <c r="B101" i="4" s="1"/>
  <c r="H366" i="5"/>
  <c r="H447" i="5" s="1"/>
  <c r="G366" i="5"/>
  <c r="G447" i="5" s="1"/>
  <c r="H365" i="5"/>
  <c r="C100" i="4" s="1"/>
  <c r="G365" i="5"/>
  <c r="B100" i="4" s="1"/>
  <c r="H355" i="5"/>
  <c r="H446" i="5" s="1"/>
  <c r="G355" i="5"/>
  <c r="G446" i="5" s="1"/>
  <c r="H354" i="5"/>
  <c r="G354" i="5"/>
  <c r="B99" i="4" s="1"/>
  <c r="H352" i="5"/>
  <c r="H351" i="5"/>
  <c r="H343" i="5"/>
  <c r="H345" i="5"/>
  <c r="H344" i="5"/>
  <c r="H445" i="5" s="1"/>
  <c r="G344" i="5"/>
  <c r="G445" i="5" s="1"/>
  <c r="G343" i="5"/>
  <c r="B97" i="4" s="1"/>
  <c r="H342" i="5"/>
  <c r="H341" i="5"/>
  <c r="H333" i="5"/>
  <c r="C96" i="4" s="1"/>
  <c r="H335" i="5"/>
  <c r="H334" i="5"/>
  <c r="H444" i="5" s="1"/>
  <c r="G334" i="5"/>
  <c r="G444" i="5" s="1"/>
  <c r="G333" i="5"/>
  <c r="B96" i="4" s="1"/>
  <c r="H332" i="5"/>
  <c r="H331" i="5"/>
  <c r="H323" i="5"/>
  <c r="C95" i="4" s="1"/>
  <c r="H325" i="5"/>
  <c r="H324" i="5"/>
  <c r="H443" i="5" s="1"/>
  <c r="G324" i="5"/>
  <c r="G443" i="5" s="1"/>
  <c r="G323" i="5"/>
  <c r="B95" i="4" s="1"/>
  <c r="H204" i="5"/>
  <c r="C80" i="4" s="1"/>
  <c r="H211" i="5"/>
  <c r="H212" i="5"/>
  <c r="H206" i="5"/>
  <c r="H205" i="5"/>
  <c r="H432" i="5" s="1"/>
  <c r="H194" i="5"/>
  <c r="C79" i="4" s="1"/>
  <c r="H202" i="5"/>
  <c r="H203" i="5"/>
  <c r="H196" i="5"/>
  <c r="H186" i="5"/>
  <c r="C78" i="4" s="1"/>
  <c r="H192" i="5"/>
  <c r="H193" i="5"/>
  <c r="H188" i="5"/>
  <c r="G205" i="5"/>
  <c r="G432" i="5" s="1"/>
  <c r="G204" i="5"/>
  <c r="B80" i="4" s="1"/>
  <c r="H195" i="5"/>
  <c r="H431" i="5" s="1"/>
  <c r="G195" i="5"/>
  <c r="G431" i="5" s="1"/>
  <c r="G194" i="5"/>
  <c r="B79" i="4" s="1"/>
  <c r="H187" i="5"/>
  <c r="H430" i="5" s="1"/>
  <c r="G187" i="5"/>
  <c r="G430" i="5" s="1"/>
  <c r="G186" i="5"/>
  <c r="B78" i="4" s="1"/>
  <c r="J103" i="5"/>
  <c r="J118" i="5"/>
  <c r="J119" i="5"/>
  <c r="J120" i="5"/>
  <c r="J121" i="5"/>
  <c r="J134" i="5"/>
  <c r="J135" i="5"/>
  <c r="J102" i="5"/>
  <c r="G137" i="5"/>
  <c r="G426" i="5" s="1"/>
  <c r="G136" i="5"/>
  <c r="B69" i="4" s="1"/>
  <c r="H149" i="5"/>
  <c r="H183" i="5"/>
  <c r="H182" i="5"/>
  <c r="H174" i="5"/>
  <c r="C75" i="4" s="1"/>
  <c r="H176" i="5"/>
  <c r="H429" i="5"/>
  <c r="G175" i="5"/>
  <c r="G429" i="5" s="1"/>
  <c r="G174" i="5"/>
  <c r="B75" i="4" s="1"/>
  <c r="H173" i="5"/>
  <c r="H165" i="5"/>
  <c r="H428" i="5"/>
  <c r="G164" i="5"/>
  <c r="G428" i="5" s="1"/>
  <c r="H163" i="5"/>
  <c r="C74" i="4" s="1"/>
  <c r="G163" i="5"/>
  <c r="B74" i="4" s="1"/>
  <c r="H162" i="5"/>
  <c r="H161" i="5"/>
  <c r="H154" i="5"/>
  <c r="C73" i="4" s="1"/>
  <c r="H156" i="5"/>
  <c r="H155" i="5"/>
  <c r="H427" i="5" s="1"/>
  <c r="G155" i="5"/>
  <c r="G427" i="5" s="1"/>
  <c r="G154" i="5"/>
  <c r="B73" i="4" s="1"/>
  <c r="G101" i="5"/>
  <c r="G424" i="5" s="1"/>
  <c r="H136" i="5"/>
  <c r="C69" i="4" s="1"/>
  <c r="H150" i="5"/>
  <c r="H138" i="5"/>
  <c r="H137" i="5"/>
  <c r="H426" i="5" s="1"/>
  <c r="H120" i="5"/>
  <c r="H425" i="5" s="1"/>
  <c r="H119" i="5"/>
  <c r="C68" i="4" s="1"/>
  <c r="H134" i="5"/>
  <c r="H135" i="5"/>
  <c r="H121" i="5"/>
  <c r="H103" i="5"/>
  <c r="H100" i="5"/>
  <c r="H118" i="5"/>
  <c r="H102" i="5"/>
  <c r="H101" i="5"/>
  <c r="H424" i="5" s="1"/>
  <c r="G120" i="5"/>
  <c r="G425" i="5" s="1"/>
  <c r="G119" i="5"/>
  <c r="B68" i="4" s="1"/>
  <c r="G100" i="5"/>
  <c r="B67" i="4" s="1"/>
  <c r="G91" i="5"/>
  <c r="G423" i="5" s="1"/>
  <c r="G90" i="5"/>
  <c r="B65" i="4" s="1"/>
  <c r="G84" i="5"/>
  <c r="G422" i="5" s="1"/>
  <c r="G83" i="5"/>
  <c r="B64" i="4" s="1"/>
  <c r="G76" i="5"/>
  <c r="G421" i="5" s="1"/>
  <c r="G75" i="5"/>
  <c r="B63" i="4" s="1"/>
  <c r="H85" i="5"/>
  <c r="H58" i="5"/>
  <c r="G56" i="5"/>
  <c r="G31" i="5"/>
  <c r="H31" i="5"/>
  <c r="H32" i="5"/>
  <c r="H56" i="5" s="1"/>
  <c r="H11" i="5"/>
  <c r="G12" i="5"/>
  <c r="G55" i="5" s="1"/>
  <c r="H12" i="5"/>
  <c r="H202" i="1"/>
  <c r="H195" i="1"/>
  <c r="H186" i="1"/>
  <c r="H192" i="1"/>
  <c r="H185" i="1"/>
  <c r="H180" i="1"/>
  <c r="H181" i="1"/>
  <c r="H177" i="1" s="1"/>
  <c r="H182" i="1"/>
  <c r="H179" i="1"/>
  <c r="G194" i="1"/>
  <c r="G212" i="1" s="1"/>
  <c r="H193" i="1"/>
  <c r="C49" i="4" s="1"/>
  <c r="G193" i="1"/>
  <c r="B49" i="4" s="1"/>
  <c r="G184" i="1"/>
  <c r="G211" i="1" s="1"/>
  <c r="G183" i="1"/>
  <c r="B48" i="4" s="1"/>
  <c r="G178" i="1"/>
  <c r="G210" i="1" s="1"/>
  <c r="G209" i="1" s="1"/>
  <c r="G177" i="1"/>
  <c r="B47" i="4" s="1"/>
  <c r="H174" i="1"/>
  <c r="H175" i="1"/>
  <c r="H168" i="1"/>
  <c r="G167" i="1"/>
  <c r="G208" i="1" s="1"/>
  <c r="G166" i="1"/>
  <c r="B45" i="4" s="1"/>
  <c r="H163" i="1"/>
  <c r="H164" i="1"/>
  <c r="H165" i="1"/>
  <c r="H159" i="1"/>
  <c r="H157" i="1"/>
  <c r="C44" i="4" s="1"/>
  <c r="G157" i="1"/>
  <c r="B44" i="4" s="1"/>
  <c r="G158" i="1"/>
  <c r="G207" i="1" s="1"/>
  <c r="H154" i="1"/>
  <c r="H155" i="1"/>
  <c r="H156" i="1"/>
  <c r="H153" i="1"/>
  <c r="H152" i="1"/>
  <c r="H206" i="1" s="1"/>
  <c r="G152" i="1"/>
  <c r="G206" i="1" s="1"/>
  <c r="H151" i="1"/>
  <c r="G151" i="1"/>
  <c r="B43" i="4" s="1"/>
  <c r="G120" i="1"/>
  <c r="G148" i="1" s="1"/>
  <c r="G119" i="1"/>
  <c r="B38" i="4" s="1"/>
  <c r="H122" i="1"/>
  <c r="H119" i="1"/>
  <c r="H123" i="1"/>
  <c r="H124" i="1"/>
  <c r="H121" i="1"/>
  <c r="H120" i="1"/>
  <c r="H148" i="1" s="1"/>
  <c r="H117" i="1"/>
  <c r="H118" i="1"/>
  <c r="H115" i="1"/>
  <c r="H114" i="1"/>
  <c r="H147" i="1" s="1"/>
  <c r="G114" i="1"/>
  <c r="G147" i="1" s="1"/>
  <c r="H113" i="1"/>
  <c r="C37" i="4" s="1"/>
  <c r="G113" i="1"/>
  <c r="B37" i="4"/>
  <c r="H110" i="1"/>
  <c r="G108" i="1"/>
  <c r="G146" i="1" s="1"/>
  <c r="G107" i="1"/>
  <c r="B36" i="4" s="1"/>
  <c r="H107" i="1"/>
  <c r="H106" i="1" s="1"/>
  <c r="C35" i="4" s="1"/>
  <c r="H112" i="1"/>
  <c r="H109" i="1"/>
  <c r="H108" i="1"/>
  <c r="H146" i="1" s="1"/>
  <c r="H104" i="1"/>
  <c r="H105" i="1"/>
  <c r="H97" i="1"/>
  <c r="G96" i="1"/>
  <c r="G144" i="1" s="1"/>
  <c r="G95" i="1"/>
  <c r="B34" i="4" s="1"/>
  <c r="G85" i="1"/>
  <c r="G143" i="1" s="1"/>
  <c r="G84" i="1"/>
  <c r="B33" i="4" s="1"/>
  <c r="H84" i="1"/>
  <c r="H93" i="1"/>
  <c r="H94" i="1"/>
  <c r="H86" i="1"/>
  <c r="H85" i="1"/>
  <c r="H143" i="1" s="1"/>
  <c r="G79" i="1"/>
  <c r="G142" i="1" s="1"/>
  <c r="G78" i="1"/>
  <c r="B32" i="4" s="1"/>
  <c r="H78" i="1"/>
  <c r="C32" i="4" s="1"/>
  <c r="H82" i="1"/>
  <c r="H83" i="1"/>
  <c r="H80" i="1"/>
  <c r="H79" i="1"/>
  <c r="H142" i="1" s="1"/>
  <c r="G71" i="1"/>
  <c r="G139" i="1" s="1"/>
  <c r="G70" i="1"/>
  <c r="B29" i="4" s="1"/>
  <c r="H70" i="1"/>
  <c r="C29" i="4" s="1"/>
  <c r="H74" i="1"/>
  <c r="H75" i="1"/>
  <c r="H71" i="1"/>
  <c r="H139" i="1" s="1"/>
  <c r="H65" i="1"/>
  <c r="H138" i="1" s="1"/>
  <c r="G65" i="1"/>
  <c r="G138" i="1" s="1"/>
  <c r="G64" i="1"/>
  <c r="B28" i="4" s="1"/>
  <c r="C27" i="4"/>
  <c r="G137" i="1"/>
  <c r="H55" i="1"/>
  <c r="H56" i="1"/>
  <c r="H53" i="1"/>
  <c r="G52" i="1"/>
  <c r="G135" i="1" s="1"/>
  <c r="G51" i="1"/>
  <c r="B25" i="4" s="1"/>
  <c r="G46" i="1"/>
  <c r="G134" i="1" s="1"/>
  <c r="G45" i="1"/>
  <c r="B24" i="4" s="1"/>
  <c r="H45" i="1"/>
  <c r="C24" i="4" s="1"/>
  <c r="H49" i="1"/>
  <c r="H50" i="1"/>
  <c r="H47" i="1"/>
  <c r="H46" i="1"/>
  <c r="H134" i="1" s="1"/>
  <c r="H43" i="1"/>
  <c r="H44" i="1"/>
  <c r="H41" i="1"/>
  <c r="G40" i="1"/>
  <c r="G133" i="1" s="1"/>
  <c r="H39" i="1"/>
  <c r="C23" i="4" s="1"/>
  <c r="G39" i="1"/>
  <c r="B23" i="4" s="1"/>
  <c r="G29" i="1"/>
  <c r="G131" i="1" s="1"/>
  <c r="G28" i="1"/>
  <c r="B21" i="4" s="1"/>
  <c r="H31" i="1"/>
  <c r="H28" i="1"/>
  <c r="C21" i="4" s="1"/>
  <c r="H37" i="1"/>
  <c r="G18" i="1"/>
  <c r="G130" i="1" s="1"/>
  <c r="G17" i="1"/>
  <c r="B20" i="4" s="1"/>
  <c r="H20" i="1"/>
  <c r="H130" i="1"/>
  <c r="H27" i="1"/>
  <c r="H14" i="1"/>
  <c r="H15" i="1"/>
  <c r="H16" i="1"/>
  <c r="G12" i="1"/>
  <c r="G129" i="1" s="1"/>
  <c r="G11" i="1"/>
  <c r="B19" i="4" s="1"/>
  <c r="L9" i="1"/>
  <c r="H51" i="1"/>
  <c r="C25" i="4" s="1"/>
  <c r="H25" i="6"/>
  <c r="H26" i="6"/>
  <c r="H27" i="6"/>
  <c r="H28" i="6"/>
  <c r="H29" i="6"/>
  <c r="H21" i="6"/>
  <c r="H22" i="6"/>
  <c r="H17" i="6"/>
  <c r="H18" i="6"/>
  <c r="H32" i="6"/>
  <c r="H33" i="6"/>
  <c r="H34" i="6"/>
  <c r="H35" i="6"/>
  <c r="H52" i="6"/>
  <c r="H53" i="6"/>
  <c r="H54" i="6"/>
  <c r="H55" i="6"/>
  <c r="H189" i="6"/>
  <c r="H57" i="6"/>
  <c r="H51" i="6"/>
  <c r="H31" i="6"/>
  <c r="H20" i="6"/>
  <c r="H16" i="6"/>
  <c r="H12" i="6"/>
  <c r="F26" i="6"/>
  <c r="H224" i="5"/>
  <c r="H434" i="5" s="1"/>
  <c r="A8" i="4"/>
  <c r="A7" i="4"/>
  <c r="B5" i="6"/>
  <c r="B4" i="6"/>
  <c r="E3" i="6"/>
  <c r="E2" i="6"/>
  <c r="C3" i="5"/>
  <c r="C2" i="5"/>
  <c r="C3" i="1"/>
  <c r="C2" i="1"/>
  <c r="I85" i="6"/>
  <c r="I95" i="6"/>
  <c r="I96" i="6"/>
  <c r="I84" i="6"/>
  <c r="I98" i="6"/>
  <c r="I99" i="6"/>
  <c r="F251" i="6"/>
  <c r="F252" i="6"/>
  <c r="F214" i="6"/>
  <c r="F215" i="6"/>
  <c r="F209" i="6"/>
  <c r="F210" i="6"/>
  <c r="F202" i="6"/>
  <c r="F203" i="6"/>
  <c r="F197" i="6"/>
  <c r="F196" i="6"/>
  <c r="F198" i="6"/>
  <c r="F184" i="6"/>
  <c r="F182" i="6" s="1"/>
  <c r="C153" i="4" s="1"/>
  <c r="F180" i="6"/>
  <c r="F52" i="6"/>
  <c r="F53" i="6"/>
  <c r="F54" i="6"/>
  <c r="F45" i="6"/>
  <c r="F46" i="6"/>
  <c r="F47" i="6"/>
  <c r="F39" i="6"/>
  <c r="F40" i="6"/>
  <c r="F41" i="6"/>
  <c r="F32" i="6"/>
  <c r="F33" i="6"/>
  <c r="F34" i="6"/>
  <c r="F27" i="6"/>
  <c r="F28" i="6"/>
  <c r="H234" i="5"/>
  <c r="C84" i="4" s="1"/>
  <c r="H242" i="5"/>
  <c r="H90" i="5"/>
  <c r="C65" i="4" s="1"/>
  <c r="H97" i="5"/>
  <c r="H88" i="5"/>
  <c r="H83" i="5"/>
  <c r="C64" i="4" s="1"/>
  <c r="H75" i="5"/>
  <c r="H63" i="5"/>
  <c r="H166" i="1"/>
  <c r="C45" i="4"/>
  <c r="H96" i="1"/>
  <c r="H144" i="1" s="1"/>
  <c r="H95" i="1"/>
  <c r="C34" i="4" s="1"/>
  <c r="H64" i="1"/>
  <c r="H57" i="1" s="1"/>
  <c r="F253" i="6"/>
  <c r="F249" i="6" s="1"/>
  <c r="F221" i="6"/>
  <c r="F216" i="6"/>
  <c r="F213" i="6"/>
  <c r="F211" i="6"/>
  <c r="F207" i="6" s="1"/>
  <c r="F204" i="6"/>
  <c r="F201" i="6"/>
  <c r="F199" i="6"/>
  <c r="F185" i="6"/>
  <c r="F183" i="6"/>
  <c r="F181" i="6"/>
  <c r="F179" i="6"/>
  <c r="F80" i="6"/>
  <c r="C138" i="4" s="1"/>
  <c r="F79" i="6"/>
  <c r="C137" i="4" s="1"/>
  <c r="F55" i="6"/>
  <c r="F51" i="6"/>
  <c r="F48" i="6"/>
  <c r="F44" i="6"/>
  <c r="F42" i="6"/>
  <c r="F38" i="6"/>
  <c r="F35" i="6"/>
  <c r="F31" i="6"/>
  <c r="F29" i="6"/>
  <c r="H243" i="5"/>
  <c r="H98" i="5"/>
  <c r="H92" i="5"/>
  <c r="H91" i="5"/>
  <c r="H423" i="5" s="1"/>
  <c r="H89" i="5"/>
  <c r="H82" i="5"/>
  <c r="H77" i="5"/>
  <c r="H137" i="1"/>
  <c r="H40" i="1"/>
  <c r="H133" i="1" s="1"/>
  <c r="H167" i="1"/>
  <c r="H208" i="1" s="1"/>
  <c r="H52" i="1"/>
  <c r="H135" i="1" s="1"/>
  <c r="H184" i="1"/>
  <c r="H211" i="1" s="1"/>
  <c r="H178" i="1"/>
  <c r="H210" i="1" s="1"/>
  <c r="C36" i="4"/>
  <c r="C97" i="4"/>
  <c r="C104" i="4"/>
  <c r="B145" i="4"/>
  <c r="F231" i="6"/>
  <c r="C166" i="4" s="1"/>
  <c r="F24" i="6"/>
  <c r="C125" i="4" s="1"/>
  <c r="F15" i="6"/>
  <c r="C122" i="4" s="1"/>
  <c r="F56" i="6"/>
  <c r="C132" i="4" s="1"/>
  <c r="E36" i="6"/>
  <c r="B127" i="4" s="1"/>
  <c r="F77" i="6"/>
  <c r="C135" i="4" s="1"/>
  <c r="F37" i="6"/>
  <c r="C128" i="4"/>
  <c r="C159" i="4"/>
  <c r="F19" i="6"/>
  <c r="C123" i="4" s="1"/>
  <c r="C157" i="4"/>
  <c r="F212" i="6"/>
  <c r="C160" i="4" s="1"/>
  <c r="F11" i="6"/>
  <c r="C154" i="4"/>
  <c r="F219" i="6"/>
  <c r="C162" i="4" s="1"/>
  <c r="F254" i="6"/>
  <c r="C179" i="4" s="1"/>
  <c r="F129" i="6"/>
  <c r="C143" i="4" s="1"/>
  <c r="E10" i="6"/>
  <c r="B120" i="4" s="1"/>
  <c r="E23" i="6"/>
  <c r="B124" i="4" s="1"/>
  <c r="E177" i="6"/>
  <c r="E248" i="6"/>
  <c r="B177" i="4" s="1"/>
  <c r="H153" i="5"/>
  <c r="C72" i="4" s="1"/>
  <c r="H353" i="5"/>
  <c r="C98" i="4" s="1"/>
  <c r="H484" i="5"/>
  <c r="C117" i="4" s="1"/>
  <c r="G389" i="5"/>
  <c r="B102" i="4" s="1"/>
  <c r="C99" i="4"/>
  <c r="B27" i="4"/>
  <c r="G141" i="1"/>
  <c r="C38" i="4"/>
  <c r="C33" i="4"/>
  <c r="F50" i="6" l="1"/>
  <c r="C131" i="4" s="1"/>
  <c r="B131" i="4"/>
  <c r="E49" i="6"/>
  <c r="B130" i="4" s="1"/>
  <c r="C67" i="4"/>
  <c r="H99" i="5"/>
  <c r="H420" i="5"/>
  <c r="C107" i="4" s="1"/>
  <c r="C63" i="4"/>
  <c r="H74" i="5"/>
  <c r="H419" i="5" s="1"/>
  <c r="H151" i="5"/>
  <c r="C70" i="4" s="1"/>
  <c r="G151" i="5"/>
  <c r="B70" i="4" s="1"/>
  <c r="G176" i="1"/>
  <c r="B46" i="4" s="1"/>
  <c r="G57" i="1"/>
  <c r="B26" i="4" s="1"/>
  <c r="G132" i="1"/>
  <c r="H10" i="1"/>
  <c r="C18" i="4" s="1"/>
  <c r="H145" i="1"/>
  <c r="G106" i="1"/>
  <c r="B35" i="4" s="1"/>
  <c r="H141" i="1"/>
  <c r="H140" i="1" s="1"/>
  <c r="G77" i="1"/>
  <c r="B31" i="4" s="1"/>
  <c r="H77" i="1"/>
  <c r="H76" i="1" s="1"/>
  <c r="C30" i="4" s="1"/>
  <c r="H128" i="1"/>
  <c r="H136" i="1"/>
  <c r="H132" i="1"/>
  <c r="H127" i="1" s="1"/>
  <c r="G38" i="1"/>
  <c r="B22" i="4" s="1"/>
  <c r="H38" i="1"/>
  <c r="C22" i="4" s="1"/>
  <c r="G128" i="1"/>
  <c r="G127" i="1" s="1"/>
  <c r="C57" i="4"/>
  <c r="H10" i="5"/>
  <c r="C55" i="4" s="1"/>
  <c r="G205" i="1"/>
  <c r="H176" i="1"/>
  <c r="C47" i="4"/>
  <c r="H209" i="1"/>
  <c r="H205" i="1"/>
  <c r="G150" i="1"/>
  <c r="B42" i="4" s="1"/>
  <c r="H150" i="1"/>
  <c r="C43" i="4"/>
  <c r="G204" i="1"/>
  <c r="B51" i="4" s="1"/>
  <c r="G136" i="1"/>
  <c r="C174" i="4"/>
  <c r="C156" i="4"/>
  <c r="F178" i="6"/>
  <c r="C152" i="4" s="1"/>
  <c r="B144" i="4"/>
  <c r="B141" i="4"/>
  <c r="D81" i="6"/>
  <c r="F30" i="6"/>
  <c r="F43" i="6"/>
  <c r="F36" i="6" s="1"/>
  <c r="C127" i="4" s="1"/>
  <c r="F206" i="6"/>
  <c r="C158" i="4" s="1"/>
  <c r="F116" i="6"/>
  <c r="C142" i="4" s="1"/>
  <c r="F97" i="6"/>
  <c r="C141" i="4" s="1"/>
  <c r="F82" i="6"/>
  <c r="C140" i="4" s="1"/>
  <c r="B57" i="4"/>
  <c r="G10" i="5"/>
  <c r="B55" i="4" s="1"/>
  <c r="B117" i="4"/>
  <c r="B116" i="4" s="1"/>
  <c r="G482" i="5"/>
  <c r="B115" i="4" s="1"/>
  <c r="G54" i="5"/>
  <c r="B58" i="4" s="1"/>
  <c r="H55" i="5"/>
  <c r="H54" i="5" s="1"/>
  <c r="C58" i="4" s="1"/>
  <c r="C6" i="6"/>
  <c r="H57" i="5"/>
  <c r="G3" i="1"/>
  <c r="B56" i="4"/>
  <c r="C56" i="4"/>
  <c r="G292" i="5"/>
  <c r="B90" i="4" s="1"/>
  <c r="H453" i="5"/>
  <c r="C109" i="4" s="1"/>
  <c r="H458" i="5"/>
  <c r="H469" i="5"/>
  <c r="H489" i="5"/>
  <c r="C118" i="4" s="1"/>
  <c r="C116" i="4" s="1"/>
  <c r="C26" i="4"/>
  <c r="C28" i="4"/>
  <c r="G74" i="5"/>
  <c r="B62" i="4" s="1"/>
  <c r="H322" i="5"/>
  <c r="C94" i="4" s="1"/>
  <c r="G99" i="5"/>
  <c r="B66" i="4" s="1"/>
  <c r="H244" i="5"/>
  <c r="C85" i="4" s="1"/>
  <c r="G322" i="5"/>
  <c r="B94" i="4" s="1"/>
  <c r="B92" i="4"/>
  <c r="G468" i="5"/>
  <c r="B112" i="4" s="1"/>
  <c r="H185" i="5"/>
  <c r="C77" i="4" s="1"/>
  <c r="G153" i="5"/>
  <c r="B72" i="4" s="1"/>
  <c r="G185" i="5"/>
  <c r="B77" i="4" s="1"/>
  <c r="H389" i="5"/>
  <c r="C102" i="4" s="1"/>
  <c r="H463" i="5"/>
  <c r="C111" i="4" s="1"/>
  <c r="H477" i="5"/>
  <c r="C114" i="4" s="1"/>
  <c r="C62" i="4"/>
  <c r="G213" i="5"/>
  <c r="B81" i="4" s="1"/>
  <c r="G353" i="5"/>
  <c r="B98" i="4" s="1"/>
  <c r="G452" i="5"/>
  <c r="B108" i="4" s="1"/>
  <c r="G483" i="5"/>
  <c r="G10" i="1"/>
  <c r="B18" i="4" s="1"/>
  <c r="G76" i="1"/>
  <c r="B30" i="4" s="1"/>
  <c r="F10" i="6"/>
  <c r="C120" i="4" s="1"/>
  <c r="C121" i="4"/>
  <c r="C113" i="4"/>
  <c r="F177" i="6"/>
  <c r="C129" i="4"/>
  <c r="C178" i="4"/>
  <c r="F248" i="6"/>
  <c r="G145" i="1"/>
  <c r="G140" i="1" s="1"/>
  <c r="B139" i="4"/>
  <c r="H292" i="5"/>
  <c r="C90" i="4" s="1"/>
  <c r="G244" i="5"/>
  <c r="G420" i="5"/>
  <c r="B107" i="4" s="1"/>
  <c r="H213" i="5"/>
  <c r="F49" i="6" l="1"/>
  <c r="H73" i="5"/>
  <c r="C59" i="4"/>
  <c r="H8" i="5"/>
  <c r="H203" i="1"/>
  <c r="H126" i="1"/>
  <c r="C40" i="4" s="1"/>
  <c r="C31" i="4"/>
  <c r="H9" i="1"/>
  <c r="H125" i="1" s="1"/>
  <c r="H8" i="1" s="1"/>
  <c r="G126" i="1"/>
  <c r="B40" i="4" s="1"/>
  <c r="C145" i="4"/>
  <c r="C146" i="4"/>
  <c r="H483" i="5"/>
  <c r="H482" i="5" s="1"/>
  <c r="H204" i="1"/>
  <c r="C51" i="4" s="1"/>
  <c r="C42" i="4"/>
  <c r="C177" i="4"/>
  <c r="F193" i="6"/>
  <c r="C155" i="4" s="1"/>
  <c r="C144" i="4"/>
  <c r="C126" i="4"/>
  <c r="F23" i="6"/>
  <c r="C124" i="4" s="1"/>
  <c r="F81" i="6"/>
  <c r="H452" i="5"/>
  <c r="C108" i="4" s="1"/>
  <c r="C110" i="4"/>
  <c r="C115" i="4"/>
  <c r="C66" i="4"/>
  <c r="H468" i="5"/>
  <c r="C112" i="4" s="1"/>
  <c r="G9" i="1"/>
  <c r="C151" i="4"/>
  <c r="C46" i="4"/>
  <c r="G184" i="5"/>
  <c r="B85" i="4"/>
  <c r="C81" i="4"/>
  <c r="H184" i="5"/>
  <c r="C130" i="4" l="1"/>
  <c r="F9" i="6"/>
  <c r="C119" i="4" s="1"/>
  <c r="C17" i="4"/>
  <c r="H149" i="1"/>
  <c r="H7" i="1" s="1"/>
  <c r="F176" i="6"/>
  <c r="C150" i="4" s="1"/>
  <c r="C139" i="4"/>
  <c r="B17" i="4"/>
  <c r="G8" i="1"/>
  <c r="B16" i="4" s="1"/>
  <c r="C39" i="4"/>
  <c r="C16" i="4"/>
  <c r="C50" i="4"/>
  <c r="G152" i="5"/>
  <c r="B76" i="4"/>
  <c r="H152" i="5"/>
  <c r="C76" i="4"/>
  <c r="C41" i="4" l="1"/>
  <c r="C15" i="4"/>
  <c r="B71" i="4"/>
  <c r="G73" i="5"/>
  <c r="B61" i="4" s="1"/>
  <c r="C71" i="4"/>
  <c r="C106" i="4" l="1"/>
  <c r="H7" i="5"/>
  <c r="C53" i="4" l="1"/>
  <c r="C61" i="4"/>
  <c r="C52" i="4" l="1"/>
  <c r="C180" i="4" s="1"/>
</calcChain>
</file>

<file path=xl/sharedStrings.xml><?xml version="1.0" encoding="utf-8"?>
<sst xmlns="http://schemas.openxmlformats.org/spreadsheetml/2006/main" count="755" uniqueCount="487">
  <si>
    <t>UNIVERSITATEA DE STIINTE AGRICOLE SI MEDICINA VETERINARA DIN IASI</t>
  </si>
  <si>
    <t>Vechimea in invatamant (N)</t>
  </si>
  <si>
    <t>ani</t>
  </si>
  <si>
    <t>CRITERII DE APRECIERE</t>
  </si>
  <si>
    <t>A. ACTIVITATEA DIDACTICA 35% * (I+II)</t>
  </si>
  <si>
    <t>I. Publicarea de manuale universitare, tratate si monografii PE.1+1.4</t>
  </si>
  <si>
    <t>1.1.1. Editate in limba romana</t>
  </si>
  <si>
    <t>1.1.2. Editate in limbi de circulatie internationala</t>
  </si>
  <si>
    <t>Total 1.1.2.</t>
  </si>
  <si>
    <t>Numar</t>
  </si>
  <si>
    <t>Nr. Pagini</t>
  </si>
  <si>
    <t>Nr. Autori</t>
  </si>
  <si>
    <t>Punctaj</t>
  </si>
  <si>
    <t>1.1. In edituri nationale</t>
  </si>
  <si>
    <t>1.2. In edituri din strainatate (carti editate in limbi de circulatie internationala)</t>
  </si>
  <si>
    <t>Total 1.1.</t>
  </si>
  <si>
    <t>Total 1.2.</t>
  </si>
  <si>
    <t>1.3. Litografiate (teza de doctorat / suporturi de studiu/alte carti de specialitate fara ISBN)</t>
  </si>
  <si>
    <t>Total 1.3.</t>
  </si>
  <si>
    <t>1.3.1. Publicate in limba romana</t>
  </si>
  <si>
    <t>Total 1.3.1.</t>
  </si>
  <si>
    <t>1.3.2. Publicate in limbi de circulatie internationala</t>
  </si>
  <si>
    <t>Total 1.3.2.</t>
  </si>
  <si>
    <t>1.4. Publicate in ultimii 5 ani</t>
  </si>
  <si>
    <t>Total 1.4.</t>
  </si>
  <si>
    <t>1.4.1. In edituri nationale</t>
  </si>
  <si>
    <t>Total 1.4.1.</t>
  </si>
  <si>
    <t>a. Editate in limba romana</t>
  </si>
  <si>
    <t>b. Editate in limbi de circulatie internationala</t>
  </si>
  <si>
    <t>1.4.2. In edituri din strainatate (carti editate in limbi de circulatie internationala)</t>
  </si>
  <si>
    <t>Total 1.4.2.</t>
  </si>
  <si>
    <t>II. Publicarea de alte carti de nivel universitar (caiete de lucrari practice, indrumatoare etc.):PE.2+2.3</t>
  </si>
  <si>
    <t>2.1. In edituri</t>
  </si>
  <si>
    <t>2.2. Litografiate</t>
  </si>
  <si>
    <t>Total 2.1.</t>
  </si>
  <si>
    <t>Total 2.2.</t>
  </si>
  <si>
    <t>2.3. Publicate in ultimii 5 ani</t>
  </si>
  <si>
    <t>Total 2.3.</t>
  </si>
  <si>
    <t>a. In editura</t>
  </si>
  <si>
    <t>IV. Lucrari stiintifice: PE4+4.6</t>
  </si>
  <si>
    <t>4.1 In reviste cotate CNCSIS (categoria B)</t>
  </si>
  <si>
    <t>Total 4.1.</t>
  </si>
  <si>
    <t>singur autor = 10 pct./lucrare</t>
  </si>
  <si>
    <t>Total 4.2.</t>
  </si>
  <si>
    <t>4.3. In reviste cotate ISI</t>
  </si>
  <si>
    <t>Total 4.3.</t>
  </si>
  <si>
    <t>singur autor = 20 pct./lucrare</t>
  </si>
  <si>
    <t>Total 4.3.a</t>
  </si>
  <si>
    <t>coautor:  10 pct./lucrare : nr. autori</t>
  </si>
  <si>
    <t>coautor:  20 pct./lucrare : nr. autori</t>
  </si>
  <si>
    <t xml:space="preserve">b.1. în reviste fără  factor de impact </t>
  </si>
  <si>
    <t>Total 4.3.b.1.</t>
  </si>
  <si>
    <t>singur autor = 60 pct./lucrare</t>
  </si>
  <si>
    <t>coautor:  60 pct./lucrare : nr. autori</t>
  </si>
  <si>
    <t>Total 4.3.b.2.</t>
  </si>
  <si>
    <t xml:space="preserve">b.2. în reviste cu  factor de impact (FI&lt;1) </t>
  </si>
  <si>
    <t>Total 4.3.b.3.</t>
  </si>
  <si>
    <t>Total 4.3.b.4.</t>
  </si>
  <si>
    <t>4.4. - În  volume ale unor Congrese/Conferinţe internaţionale pe domenii (cu ISBN/ISSN)</t>
  </si>
  <si>
    <t>Total 4.4.</t>
  </si>
  <si>
    <t>4.5. În volume ale altor manifestări ştiintifice naţionale (cu ISBN/ISSN)</t>
  </si>
  <si>
    <t>Total 4.5.</t>
  </si>
  <si>
    <t>4.6. – Lucrări  publicate în ultimii 5 ani:</t>
  </si>
  <si>
    <t>Total 4.6.</t>
  </si>
  <si>
    <t>Total V.</t>
  </si>
  <si>
    <t>VI. Lucrări ştiinţifice premiate:</t>
  </si>
  <si>
    <t>Total VI.</t>
  </si>
  <si>
    <t>V. Cărţi/prototipuri /brevete/etc premiate:</t>
  </si>
  <si>
    <t xml:space="preserve">VII. Brevete, invenţii, omologare de soiuri sau hibrizi, produse etc. </t>
  </si>
  <si>
    <t>Total VII.</t>
  </si>
  <si>
    <t>VIII. Membru activ în academii (ultimii 5 ani)</t>
  </si>
  <si>
    <t xml:space="preserve">XI. Membru în comisii (ultimii 5 ani): </t>
  </si>
  <si>
    <t>a. membru în conducerea unor Acad./Soc./Asoc. ştiinţifice, profesionale</t>
  </si>
  <si>
    <t>c. organizator de manifestări ştiinţifice:preşedinte/vicepreşedinte/ membru în comitet de organizare/membru în comitet ştiinţific</t>
  </si>
  <si>
    <t>naţionale (30/20/15/15 puncte x nr.)</t>
  </si>
  <si>
    <t>internaţionale (60/40/30/30 puncte x nr.)</t>
  </si>
  <si>
    <t>d. moderator la manifestări ştiinţifice</t>
  </si>
  <si>
    <t>naţionale (10 puncte x nr.)</t>
  </si>
  <si>
    <t>internaţionale (20 puncte x nr.)</t>
  </si>
  <si>
    <t>naţionale (20 puncte x nr.)</t>
  </si>
  <si>
    <t xml:space="preserve">TOTAL A+B+C </t>
  </si>
  <si>
    <t>Punctaj lucrare</t>
  </si>
  <si>
    <t>Valoare contract</t>
  </si>
  <si>
    <t>F.I. Revista</t>
  </si>
  <si>
    <t>Verificare punctaj revista</t>
  </si>
  <si>
    <t>&lt;1</t>
  </si>
  <si>
    <t>Nr. de ani</t>
  </si>
  <si>
    <t>Media</t>
  </si>
  <si>
    <t>De cate ori</t>
  </si>
  <si>
    <t>Nr. Doctoranzi</t>
  </si>
  <si>
    <t>Nr. Lucrari</t>
  </si>
  <si>
    <t>Nr. Comisii</t>
  </si>
  <si>
    <t>B. Activitatea de cercetare 45% * (III+IV+V+VI+VII),</t>
  </si>
  <si>
    <t>Puntaj contract</t>
  </si>
  <si>
    <t>singur autor = 100 + 50*FI puncte/lucrare</t>
  </si>
  <si>
    <t>singur autor = 100 + 100*FI puncte/lucrare</t>
  </si>
  <si>
    <t>Criterii de apreciere</t>
  </si>
  <si>
    <t>A. Activitatea didactică 35% x (I+II)</t>
  </si>
  <si>
    <t>I. Publicarea de manuale universitare, tratate şi monografii: PE.1 + 1.4</t>
  </si>
  <si>
    <t>1.1.1. Editate în limba română</t>
  </si>
  <si>
    <t>II. Publicarea de alte cărţi de nivel universitar (caiete de lucrări practice, îndrumătoare etc): PE.2+2.3</t>
  </si>
  <si>
    <t>B. Activitatea de cercetare 45% x (III+IV+V+VI+VII)</t>
  </si>
  <si>
    <r>
      <t>V. Cărţi/prototipuri/brevete/etc premiate</t>
    </r>
    <r>
      <rPr>
        <b/>
        <i/>
        <sz val="12"/>
        <color indexed="8"/>
        <rFont val="Times New Roman"/>
        <family val="1"/>
      </rPr>
      <t>:</t>
    </r>
  </si>
  <si>
    <r>
      <t>VI. Lucrări ştiinţifice premiate</t>
    </r>
    <r>
      <rPr>
        <b/>
        <i/>
        <sz val="12"/>
        <color indexed="8"/>
        <rFont val="Times New Roman"/>
        <family val="1"/>
      </rPr>
      <t>:</t>
    </r>
  </si>
  <si>
    <t>VII. Brevete, invenţii, omologare de soiuri sau hibrizi, produse etc. :</t>
  </si>
  <si>
    <t xml:space="preserve"> singur autor: 10 puncte/lucrare</t>
  </si>
  <si>
    <t xml:space="preserve"> singur autor: 20 puncte/lucrare</t>
  </si>
  <si>
    <t xml:space="preserve">1.1.2. Editate în limbi de circulaţie internaţională </t>
  </si>
  <si>
    <t xml:space="preserve"> coautor: 10 puncte/lucrare:nr. autori </t>
  </si>
  <si>
    <t xml:space="preserve"> coautor: 20 puncte/lucrare:nr. autori </t>
  </si>
  <si>
    <t xml:space="preserve">b.1 în reviste fără factor de impact </t>
  </si>
  <si>
    <t xml:space="preserve"> singur autor: 60 puncte/lucrare</t>
  </si>
  <si>
    <t xml:space="preserve"> coautor: 60 puncte/lucrare: nr. autori</t>
  </si>
  <si>
    <t xml:space="preserve">b.2 în reviste cu factor de impact (FI&lt;1) </t>
  </si>
  <si>
    <t xml:space="preserve"> coautor: 60 puncte/lucrare : nr. autori </t>
  </si>
  <si>
    <t xml:space="preserve"> singur autor: 50 puncte/lucrare</t>
  </si>
  <si>
    <t xml:space="preserve"> coautor: 50 puncte/lucrare :nr. autori </t>
  </si>
  <si>
    <t xml:space="preserve"> coautor: 20 puncte/lucrare :nr. autori </t>
  </si>
  <si>
    <t xml:space="preserve"> în străinătate: 50 puncte/fiecare caz</t>
  </si>
  <si>
    <t xml:space="preserve"> 1.3.1. Publicate în limba română</t>
  </si>
  <si>
    <t xml:space="preserve">a. Lucrări publicate în rezumat (abstract) </t>
  </si>
  <si>
    <r>
      <t>XI. Membru în comisii (ultimii 5 ani):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</si>
  <si>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 xml:space="preserve"> 1.3.2.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Publicate în limbi de circulaţie internaţională</t>
    </r>
  </si>
  <si>
    <t>cereri aprobate:</t>
  </si>
  <si>
    <t>REALIZARE PROFESIONALA</t>
  </si>
  <si>
    <t>a. Lucrari publicate in rezumat (ABSTRACT)</t>
  </si>
  <si>
    <t>b. Lucrări publicate în extenso (FULL TEXT PAPER)                         Total 4.3.b</t>
  </si>
  <si>
    <t>&gt;=1</t>
  </si>
  <si>
    <t>Senat</t>
  </si>
  <si>
    <t>Consiliul de administratie</t>
  </si>
  <si>
    <t>b. membru în structurile de conducere ale USAMV din Iaşi:</t>
  </si>
  <si>
    <t>Teze in cotutela</t>
  </si>
  <si>
    <t>Conducator de doctorat</t>
  </si>
  <si>
    <t>Indrumare lucrari de licenta</t>
  </si>
  <si>
    <t>Indrumare lucrari de diploma</t>
  </si>
  <si>
    <t>Indrumare lucrari de dizertatie</t>
  </si>
  <si>
    <t xml:space="preserve"> singur autor: 100 +50 x FI puncte/lucrare</t>
  </si>
  <si>
    <t xml:space="preserve"> singur autor: 100 +100 x FI puncte/lucrare</t>
  </si>
  <si>
    <t xml:space="preserve"> </t>
  </si>
  <si>
    <t>DE COMPLETAT LA INCEPUT</t>
  </si>
  <si>
    <t>Functia didactica</t>
  </si>
  <si>
    <t>Facultatea</t>
  </si>
  <si>
    <t>Departamentul</t>
  </si>
  <si>
    <t>Numele si Prenumele</t>
  </si>
  <si>
    <t>Vechimea in invatamant</t>
  </si>
  <si>
    <t>Consiliul Facultatii</t>
  </si>
  <si>
    <t>Se completeaza cu presedinte, vicepresedinte sau membru</t>
  </si>
  <si>
    <t>Verificare nr ani.</t>
  </si>
  <si>
    <t xml:space="preserve">colectiv autori = (2 pct x nr. pag.): nr. autori </t>
  </si>
  <si>
    <t>singur autor = 2 pct x nr. pag.</t>
  </si>
  <si>
    <t>singur autor = 4 pct x nr. pag.</t>
  </si>
  <si>
    <t xml:space="preserve"> colectiv autori =  (4 pct x nr. pag.): nr. autori </t>
  </si>
  <si>
    <t>singur autor = 0,6 pct x nr. pag.</t>
  </si>
  <si>
    <t xml:space="preserve">colectiv autori = (0,6 pct x nr. pag.): nr. autori </t>
  </si>
  <si>
    <t>singur autor = 0,8 pct x nr. pag.</t>
  </si>
  <si>
    <t xml:space="preserve">colectiv autori = (0,8 pct x nr. pag.): nr. autori </t>
  </si>
  <si>
    <t>singur autor = 0,4 pct x nr. pag.</t>
  </si>
  <si>
    <t xml:space="preserve">colectiv autori = (0,4 pct x nr. pag.): nr. autori </t>
  </si>
  <si>
    <r>
      <t>1.4.–</t>
    </r>
    <r>
      <rPr>
        <sz val="12"/>
        <color indexed="8"/>
        <rFont val="Times New Roman"/>
        <family val="1"/>
      </rPr>
      <t xml:space="preserve"> Publicatiile din ultimii 5 ani (la categoriile 1.1, 1.2, 1.3) se cuantifica 100%</t>
    </r>
  </si>
  <si>
    <r>
      <t>2.1</t>
    </r>
    <r>
      <rPr>
        <b/>
        <sz val="12"/>
        <color indexed="8"/>
        <rFont val="Times New Roman"/>
        <family val="1"/>
      </rPr>
      <t xml:space="preserve">. </t>
    </r>
    <r>
      <rPr>
        <b/>
        <i/>
        <sz val="12"/>
        <color indexed="8"/>
        <rFont val="Times New Roman"/>
        <family val="1"/>
      </rPr>
      <t>În edituri:</t>
    </r>
    <r>
      <rPr>
        <b/>
        <sz val="12"/>
        <color indexed="8"/>
        <rFont val="Times New Roman"/>
        <family val="1"/>
      </rPr>
      <t xml:space="preserve"> </t>
    </r>
  </si>
  <si>
    <r>
      <t>2.2</t>
    </r>
    <r>
      <rPr>
        <b/>
        <sz val="12"/>
        <color indexed="8"/>
        <rFont val="Times New Roman"/>
        <family val="1"/>
      </rPr>
      <t xml:space="preserve">. </t>
    </r>
    <r>
      <rPr>
        <b/>
        <i/>
        <sz val="12"/>
        <color indexed="8"/>
        <rFont val="Times New Roman"/>
        <family val="1"/>
      </rPr>
      <t>Litografiate</t>
    </r>
    <r>
      <rPr>
        <b/>
        <sz val="12"/>
        <color indexed="8"/>
        <rFont val="Times New Roman"/>
        <family val="1"/>
      </rPr>
      <t xml:space="preserve">: </t>
    </r>
  </si>
  <si>
    <r>
      <rPr>
        <b/>
        <sz val="12"/>
        <color indexed="8"/>
        <rFont val="Times New Roman"/>
        <family val="1"/>
      </rPr>
      <t>2.3</t>
    </r>
    <r>
      <rPr>
        <b/>
        <i/>
        <sz val="12"/>
        <color indexed="8"/>
        <rFont val="Times New Roman"/>
        <family val="1"/>
      </rPr>
      <t xml:space="preserve"> Publicatiile din ultimii 5 ani (la categoriile 2.1, 2.2) se cuantifica 100%</t>
    </r>
  </si>
  <si>
    <r>
      <t xml:space="preserve">1.1. </t>
    </r>
    <r>
      <rPr>
        <b/>
        <sz val="12"/>
        <color indexed="8"/>
        <rFont val="Times New Roman"/>
        <family val="1"/>
      </rPr>
      <t xml:space="preserve">În edituri naţionale: </t>
    </r>
  </si>
  <si>
    <r>
      <t>1.2</t>
    </r>
    <r>
      <rPr>
        <b/>
        <sz val="12"/>
        <color indexed="8"/>
        <rFont val="Times New Roman"/>
        <family val="1"/>
      </rPr>
      <t>. În edituri din străinătate (cărţi editate în limbi de circulaţie internaţională):</t>
    </r>
  </si>
  <si>
    <t xml:space="preserve">UNIVERSITATEA DE STIINTE AGRICOLE SI MEDICINA VETERINARA </t>
  </si>
  <si>
    <t>"Ion Ionescu de la Brad" din IASI</t>
  </si>
  <si>
    <r>
      <t xml:space="preserve">4.3. </t>
    </r>
    <r>
      <rPr>
        <b/>
        <sz val="12"/>
        <color indexed="8"/>
        <rFont val="Times New Roman"/>
        <family val="1"/>
      </rPr>
      <t xml:space="preserve">În reviste cotate ISI </t>
    </r>
  </si>
  <si>
    <r>
      <t xml:space="preserve">4.1. </t>
    </r>
    <r>
      <rPr>
        <b/>
        <sz val="12"/>
        <color indexed="8"/>
        <rFont val="Times New Roman"/>
        <family val="1"/>
      </rPr>
      <t>În reviste cotate CNCSIS (categoria B)</t>
    </r>
  </si>
  <si>
    <t xml:space="preserve"> singur autor: 100 +200 x FI puncte/lucrare</t>
  </si>
  <si>
    <t xml:space="preserve"> în străinătate: 200 puncte/lucrare: nr. autori</t>
  </si>
  <si>
    <t xml:space="preserve"> cărţi recenzate în străinătate: 50 puncte/lucrare : nr. autori</t>
  </si>
  <si>
    <t xml:space="preserve"> în străinătate 200 puncte/lucrare : nr. autori</t>
  </si>
  <si>
    <t>în străinătate: 300 puncte/fiecare caz : nr. autori</t>
  </si>
  <si>
    <t xml:space="preserve"> în ţară          100 puncte/lucrare : nr. autori</t>
  </si>
  <si>
    <t xml:space="preserve"> în ţară:          100 puncte/lucrare : nr. autori</t>
  </si>
  <si>
    <t>în ţară:           200 puncte/fiecare caz : nr. autori</t>
  </si>
  <si>
    <t>în ţară: Academia Română –150 puncte x nr. ani</t>
  </si>
  <si>
    <t>în străinătate Academii de specialitate recunoscute științific la nivel mondial:                                             100 puncte x nr. ani</t>
  </si>
  <si>
    <t>IX. Membru activ al unor societăţi (asociaţii) ştiinţifice sau profesionale                      (ultimii 5 ani) maxim 5 societati/ asociatii nationale, rerspectiv din străinatate***:</t>
  </si>
  <si>
    <t xml:space="preserve"> în ţară:           25 puncte/fiecare caz </t>
  </si>
  <si>
    <t>în reviste cu FI =0:  20 : nr. autori al articolului citat</t>
  </si>
  <si>
    <t>în reviste indexate BDI: 15 : nr. autori al articolului citat</t>
  </si>
  <si>
    <r>
      <rPr>
        <b/>
        <sz val="12"/>
        <color indexed="8"/>
        <rFont val="Times New Roman"/>
        <family val="1"/>
      </rPr>
      <t>XV.</t>
    </r>
    <r>
      <rPr>
        <b/>
        <i/>
        <sz val="12"/>
        <color indexed="8"/>
        <rFont val="Times New Roman"/>
        <family val="1"/>
      </rPr>
      <t xml:space="preserve"> Alte activităţi – (ultimii 5 ani):</t>
    </r>
  </si>
  <si>
    <r>
      <rPr>
        <b/>
        <sz val="12"/>
        <color indexed="8"/>
        <rFont val="Times New Roman"/>
        <family val="1"/>
      </rPr>
      <t xml:space="preserve">XIV. </t>
    </r>
    <r>
      <rPr>
        <b/>
        <i/>
        <sz val="12"/>
        <color indexed="8"/>
        <rFont val="Times New Roman"/>
        <family val="1"/>
      </rPr>
      <t>Recenzor la reviste cotate ISI</t>
    </r>
  </si>
  <si>
    <t>în reviste cu FI&lt;1  20 pct / articol</t>
  </si>
  <si>
    <t>în reviste cu FI≥1 30 pct / articol</t>
  </si>
  <si>
    <t>C. Prestigiul profesional 20% x (VIII+ IX+X+XI+XII+XIII+XIV+XV)</t>
  </si>
  <si>
    <t>1.2. Cărțile raportate trebuie sa se regasească în Biblioteca Națională/ Biblioteca USAMV Iasi/ Biblioteca Universitară Iași,  Biblioteca Departamentului/disciplinei.</t>
  </si>
  <si>
    <r>
      <t>1.3</t>
    </r>
    <r>
      <rPr>
        <b/>
        <sz val="12"/>
        <color indexed="8"/>
        <rFont val="Times New Roman"/>
        <family val="1"/>
      </rPr>
      <t>. Litografiate (</t>
    </r>
    <r>
      <rPr>
        <b/>
        <sz val="10"/>
        <color indexed="8"/>
        <rFont val="Times New Roman"/>
        <family val="1"/>
      </rPr>
      <t>teză de doctorat/ suporturi de studiu/alte cărţi de specialitate fără ISBN</t>
    </r>
    <r>
      <rPr>
        <b/>
        <sz val="12"/>
        <color indexed="8"/>
        <rFont val="Times New Roman"/>
        <family val="1"/>
      </rPr>
      <t>):</t>
    </r>
    <r>
      <rPr>
        <b/>
        <i/>
        <sz val="12"/>
        <color indexed="8"/>
        <rFont val="Times New Roman"/>
        <family val="1"/>
      </rPr>
      <t xml:space="preserve"> </t>
    </r>
  </si>
  <si>
    <r>
      <t>X. Membru în colegiul de redacţie al unor edituri, reviste de specialitate</t>
    </r>
    <r>
      <rPr>
        <b/>
        <sz val="10"/>
        <color indexed="8"/>
        <rFont val="Times New Roman"/>
        <family val="1"/>
      </rPr>
      <t xml:space="preserve"> (ultimii 5 ani)</t>
    </r>
  </si>
  <si>
    <t xml:space="preserve">Nr. de pagini a cărții analizate </t>
  </si>
  <si>
    <t>In ultimii 5 ani</t>
  </si>
  <si>
    <t>&lt;=5 ani</t>
  </si>
  <si>
    <t>In ultimii 5 ani se completeaza doar cu DA / NU</t>
  </si>
  <si>
    <t xml:space="preserve">Introduceti Nr. Caractere / pagină la formatul cărții analizate </t>
  </si>
  <si>
    <t>Nr. de pagini format academic</t>
  </si>
  <si>
    <t>singur autor = 2  pct. x nr. pag</t>
  </si>
  <si>
    <t xml:space="preserve">Total 1.1.1. </t>
  </si>
  <si>
    <t>singur autor = 2  pct. x nr. Pag</t>
  </si>
  <si>
    <t>singur autor = 2  pct. x nr. Pag in ultimii 5 ani</t>
  </si>
  <si>
    <t xml:space="preserve">colectiv autori = (2  pct. x nr. pag) : nr. autori </t>
  </si>
  <si>
    <t>colectiv autori = (2  pct. x nr. pag) : nr. autori in ultimii 5 ani</t>
  </si>
  <si>
    <t>singur autor = 4  pct. x nr. pag</t>
  </si>
  <si>
    <t>singur autor = 4  pct. x nr. Pag in ultimii 5 ani</t>
  </si>
  <si>
    <t xml:space="preserve">colectiv autori = (4  pct. x nr. pag) : nr. autori </t>
  </si>
  <si>
    <t>colectiv autori = (4  pct. x nr. pag) : nr. autori in ultimii 5 ani</t>
  </si>
  <si>
    <t>singur autor = 0,6  pct. x nr. Pag</t>
  </si>
  <si>
    <t>singur autor = 0,6  pct. x nr. Pag in ultimii 5 ani</t>
  </si>
  <si>
    <t xml:space="preserve">colectiv autori = (0,6  pct. x nr. pag) : nr. autori </t>
  </si>
  <si>
    <t>colectiv autori = (0,6  pct. x nr. pag) : nr. autori in ultimii 5 ani</t>
  </si>
  <si>
    <t>singur autor = 0,8  pct. x nr. Pag</t>
  </si>
  <si>
    <t>singur autor = 0,8  pct. x nr. Pag in ultimii 5 ani</t>
  </si>
  <si>
    <t xml:space="preserve">colectiv autori = (0,8  pct. x nr. pag) : nr. autori </t>
  </si>
  <si>
    <t>colectiv autori = (0,8  pct. x nr. pag) : nr. autori in ultimii 5 ani</t>
  </si>
  <si>
    <t>singur autor = 4  pct. x nr. Pag</t>
  </si>
  <si>
    <t>colectiv autori = (4  pct. x nr. pag) : nr. Autori</t>
  </si>
  <si>
    <t>Total 1.4.3.</t>
  </si>
  <si>
    <t>a. Publicate în limba română</t>
  </si>
  <si>
    <t>colectiv autori = (0,8  pct. x nr. pag) : nr. Autori</t>
  </si>
  <si>
    <t>b. Publicate în limbi de circulaţie internaţională</t>
  </si>
  <si>
    <t>1.4.3. Litografiate</t>
  </si>
  <si>
    <t>IN ULTIMII 5 ANI</t>
  </si>
  <si>
    <t>singur autor = 0,4  pct. x nr. Pag</t>
  </si>
  <si>
    <t>singur autor = 0,4  pct. x nr. Pag in ultimii 5 ani</t>
  </si>
  <si>
    <t xml:space="preserve">colectiv autori = (0,4  pct. x nr. pag) : nr. autori </t>
  </si>
  <si>
    <t>colectiv autori = (0,4  pct. x nr. pag) : nr. autori in ultimii 5 ani</t>
  </si>
  <si>
    <t>b. Litografiate</t>
  </si>
  <si>
    <t>Nr. Membrii</t>
  </si>
  <si>
    <t>3.1.</t>
  </si>
  <si>
    <t>2.1.</t>
  </si>
  <si>
    <t>2.2.</t>
  </si>
  <si>
    <t>singur autor = 10 pct./lucrare in ultimii 5 ani</t>
  </si>
  <si>
    <t>coautor:  10 pct./lucrare : nr. Autori in ultimii 5 ani</t>
  </si>
  <si>
    <t>4.2. In reviste recenzate in BDI 
(ec. CABI, Pubmed, Scopus etc.)</t>
  </si>
  <si>
    <t>singur autor = 20 pct./lucrare in ultimii 5 ani</t>
  </si>
  <si>
    <t>coautor:  20 pct./lucrare : nr. Autori in ultimii 5 ani</t>
  </si>
  <si>
    <t>Lucrări publicate în revistele USAMV Iași, în ultimii 5 ani: +10 puncte/lucrare (la punctajul inițial)</t>
  </si>
  <si>
    <t>USAMV si &lt;= 5 ani</t>
  </si>
  <si>
    <t>revista USAMV</t>
  </si>
  <si>
    <t>singur autor = 60 pct./lucrare in ultimii 5 ani</t>
  </si>
  <si>
    <t>coautor:  60 pct./lucrare : nr. Autori in ultimii 5 ani</t>
  </si>
  <si>
    <t>singur autor = 50 pct./lucrare</t>
  </si>
  <si>
    <t>singur autor = 50 pct./lucrare in ultimii 5 ani</t>
  </si>
  <si>
    <t>coautor:  50 pct./lucrare : nr. autori</t>
  </si>
  <si>
    <t>coautor:  50 pct./lucrare : nr. Autori in ultimii 5 ani</t>
  </si>
  <si>
    <t>b.5. în volumele conferinţelor indexate  - ISI Proceedings</t>
  </si>
  <si>
    <t>b.4. în reviste cu  factor de impact clasate in zona rosie</t>
  </si>
  <si>
    <t>b.3. în reviste cu  factor de impact (FI≥1) / clasate in zona galbena</t>
  </si>
  <si>
    <t>Total 4.3.b.5.</t>
  </si>
  <si>
    <t>singur autor = 100 + 50*FI puncte/lucrare in ultimii 5 ani</t>
  </si>
  <si>
    <t>singur autor = 100 + 100*FI puncte/lucrare in ultimii 5 ani</t>
  </si>
  <si>
    <t>singur autor = 100 + 200*FI puncte/lucrare</t>
  </si>
  <si>
    <t>singur autor = 100 + 200*FI puncte/lucrare in ultimii 5 ani</t>
  </si>
  <si>
    <t>4.1.</t>
  </si>
  <si>
    <t>4.2.</t>
  </si>
  <si>
    <t>4.4.</t>
  </si>
  <si>
    <t>4.5.</t>
  </si>
  <si>
    <t>4.3.a</t>
  </si>
  <si>
    <t>4.3.b.1.</t>
  </si>
  <si>
    <t>4.3.b.2.</t>
  </si>
  <si>
    <t>4.3.b.3.</t>
  </si>
  <si>
    <t>4.3.b.4.</t>
  </si>
  <si>
    <t>4.3.b.5.</t>
  </si>
  <si>
    <t>în străinătate: 200 puncte/lucrare: nr. autori</t>
  </si>
  <si>
    <t>în ţară:  100 puncte/lucrare : nr. autori</t>
  </si>
  <si>
    <t>cărţi recenzate în străinătate:  50 puncte/lucrare : nr. autori</t>
  </si>
  <si>
    <t>în ţară  - 100 puncte/lucrare : nr. autori</t>
  </si>
  <si>
    <t>în străinătate - 200 puncte/lucrare : nr. autori</t>
  </si>
  <si>
    <t>TOTAL</t>
  </si>
  <si>
    <t>în ţară:  Academia Română - 150 puncte x nr. ani</t>
  </si>
  <si>
    <t>IX. Membru activ al unor societăţi (asociaţii) ştiinţifice sau profesionale*** ; (ultimii 5 ani) maxim 5 societati/ asociatii nationale, rerspectiv din străinatate</t>
  </si>
  <si>
    <t>X. Membru în colegiul de redacţie al unor edituri, reviste de specialitate (ultimii 5 ani):</t>
  </si>
  <si>
    <t>Nr. autori articol citat</t>
  </si>
  <si>
    <t>în reviste cu FI = 0:  20 : nr. autori al articolului citat</t>
  </si>
  <si>
    <t>XIV. Recenzor la reviste cotate ISI:</t>
  </si>
  <si>
    <t>XV. Alte activităţi – (ultimii 5 ani):</t>
  </si>
  <si>
    <t>Indrumare doctoranzi straini in stagiu</t>
  </si>
  <si>
    <t>f. teze în cotutelă/îndrumare doctoranzi străini în stagiu 
50 puncte x nr. Doctoranzi</t>
  </si>
  <si>
    <t>Numar:</t>
  </si>
  <si>
    <r>
      <rPr>
        <b/>
        <sz val="14"/>
        <color indexed="8"/>
        <rFont val="Times New Roman"/>
        <family val="1"/>
      </rPr>
      <t>IV. Lucrări ştiinţifice: PE4+4.6</t>
    </r>
  </si>
  <si>
    <t xml:space="preserve">b.4 în reviste cu factor de impact clasate în zona rosie </t>
  </si>
  <si>
    <t xml:space="preserve"> b.5 în volumele conferinţelor indexate ISI Proceedings</t>
  </si>
  <si>
    <t xml:space="preserve"> in ţară: 200 puncte/fiecare caz : nr. autori</t>
  </si>
  <si>
    <t>în străinătate:  300 puncte/fiecare caz : nr. autori</t>
  </si>
  <si>
    <t>a. membru în conducerea unor Acad./Soc./Asoc. ştiinţifice, profesionale: </t>
  </si>
  <si>
    <t>c. organizator de manifestări ştiinţifice: preşedinte/vicepreşedinte/ membru în comitet de organizare/membru în comitet ştiinţific</t>
  </si>
  <si>
    <r>
      <t xml:space="preserve">4.2. </t>
    </r>
    <r>
      <rPr>
        <b/>
        <sz val="12"/>
        <color indexed="8"/>
        <rFont val="Times New Roman"/>
        <family val="1"/>
      </rPr>
      <t>În reviste recenzate în BDI 
(ex. CABI, Pubmed, Scopus etc.)**</t>
    </r>
  </si>
  <si>
    <t>* celula obligatorie</t>
  </si>
  <si>
    <r>
      <t xml:space="preserve">Puctaj echivalent pentru 5 ani activitate: PE.2=(2.1+2.2) : (N-5) ani vechime in invatamant*5 ani </t>
    </r>
    <r>
      <rPr>
        <i/>
        <sz val="12"/>
        <color indexed="8"/>
        <rFont val="Times New Roman"/>
        <family val="1"/>
      </rPr>
      <t>(la vechime mai mare de 10 ani)</t>
    </r>
  </si>
  <si>
    <r>
      <t xml:space="preserve">Punctaj echivalent pentru 5 ani de activitate*: PE.1 = (1.1+1.2+1.3) : (N-5) ani vechime în învăţământ * 5 ani </t>
    </r>
    <r>
      <rPr>
        <i/>
        <sz val="12"/>
        <color indexed="8"/>
        <rFont val="Times New Roman"/>
        <family val="1"/>
      </rPr>
      <t>(la vechime mai mare de 10 ani)</t>
    </r>
  </si>
  <si>
    <r>
      <t xml:space="preserve">Punctaj echivalent pentru 5 ani de activitate*: PE.4=(4.1+4.2+4.3+4.4+4.5) : (N-5) ani vechime x 5 ani </t>
    </r>
    <r>
      <rPr>
        <i/>
        <sz val="12"/>
        <color indexed="8"/>
        <rFont val="Times New Roman"/>
        <family val="1"/>
      </rPr>
      <t>(la vechime mai mare de 10 ani)</t>
    </r>
  </si>
  <si>
    <t xml:space="preserve">b.3 în reviste cu factor de impact (FI≥1) / clasate în zona galbenă </t>
  </si>
  <si>
    <t>Nr. pagini format academic = (Nr. caractere/pagină la formatul cărții analizate x Nr. pagini carte): 3139*</t>
  </si>
  <si>
    <t>3139* = reprezinta numărul de caractere cu spații, pe pagina full text la formatul academic</t>
  </si>
  <si>
    <t>Data:                                                                                                         Semnatura</t>
  </si>
  <si>
    <t>1.1. Pentru cărți: calculul se efectuează la formatul de tip academic (pagina: 17x24 cm, un spațiu între rânduri, font size 11); orice alt format se va converti la cel academic, pe baza unei formule de calcul:</t>
  </si>
  <si>
    <t xml:space="preserve"> prim autor (coord./corespondent): +6 puncte/lucrare </t>
  </si>
  <si>
    <t xml:space="preserve"> prim autor (coord./corespondent): +3 puncte/lucrare </t>
  </si>
  <si>
    <t>Nr. ani</t>
  </si>
  <si>
    <t>Nr. cazuri</t>
  </si>
  <si>
    <t>h. Responsabil cu activități studențești din cămine: 10 pct/an</t>
  </si>
  <si>
    <t>j. Responsabil cu organizarea practicii studenților:</t>
  </si>
  <si>
    <t>h. - responsabil cu activități studențești din cămine: 10 pct/an</t>
  </si>
  <si>
    <t>în reviste cu FI≥1: (80+20 x FI): nr. autori al articolului citat</t>
  </si>
  <si>
    <t xml:space="preserve"> în reviste cu FI&lt;1: (40 +10 x FI): nr. autori al articolului citat</t>
  </si>
  <si>
    <t>coautor:  (100 +50*FI puncte/lucrare) : nr. autori in ultimii 5 ani</t>
  </si>
  <si>
    <t>coautor:  (100 +100*FI puncte/lucrare) : nr. autori in ultimii 5 ani</t>
  </si>
  <si>
    <t>coautor:  (100 +200*FI puncte/lucrare) : nr. autori in ultimii 5 ani</t>
  </si>
  <si>
    <t>în reviste cu FI≥1: (80 + 20 x F.I.) : nr. autori al articolului citat</t>
  </si>
  <si>
    <t>în reviste cu FI&lt;1: (40 +10 x FI): nr. autori al articolului citat</t>
  </si>
  <si>
    <r>
      <t>g. coordonare Programe studii, Program  bilateral Erasmus, CCOC, SAS, BRI, Birou Erasmus</t>
    </r>
    <r>
      <rPr>
        <sz val="12"/>
        <color theme="1"/>
        <rFont val="Times New Roman"/>
        <family val="1"/>
      </rPr>
      <t>: 50 puncte/fiecare caz</t>
    </r>
  </si>
  <si>
    <t>g. coordonare Programe studii, Program  bilateral Erasmus, CCOC, SAS, BRI, Birou Erasmus:  50 puncte/fiecare caz</t>
  </si>
  <si>
    <t>3.1. Granturi/contracte</t>
  </si>
  <si>
    <t xml:space="preserve"> director/responsabil partener: Vpi/500</t>
  </si>
  <si>
    <t xml:space="preserve"> membru în colectivul de cercetare: Vpi/(500 x k)</t>
  </si>
  <si>
    <t>3.4. Proiecte de tip F.D.I. (pentru directorul de proiect) Vpi/800</t>
  </si>
  <si>
    <t>3.3. Pentru granturi/contracte de cercetare/dezvoltare/POC finantate din fonduri europene se acorda suplimentar Directorului de proiect 20% din punctajul calculat</t>
  </si>
  <si>
    <t>lucrări publicate în revistele USAMV Iași, în ultimii 5 ani: 
                                                                     +10 puncte/lucrare (la punctajul inițial)</t>
  </si>
  <si>
    <r>
      <t xml:space="preserve">4.6. </t>
    </r>
    <r>
      <rPr>
        <sz val="12"/>
        <color indexed="8"/>
        <rFont val="Times New Roman"/>
        <family val="1"/>
      </rPr>
      <t>Pentru ultimii 5 ani (activitatea de la categoriile 4.1+4.2+4.3+4.4+4.5) se cuantifică 100%</t>
    </r>
  </si>
  <si>
    <t xml:space="preserve"> în ţară:           10 puncte/fiecare societate (asociaţie) x nr. ani </t>
  </si>
  <si>
    <t xml:space="preserve"> în străinătate:  20 puncte/fiecare societate (asociaţie) x nr. ani</t>
  </si>
  <si>
    <t>naţionale ARACIS, CNATDCU, CNCS, CNFIS etc: 100 puncte x nr. Ani</t>
  </si>
  <si>
    <t xml:space="preserve">          Academii de ramură (ASAS etc) : 80 puncte x nr. ani</t>
  </si>
  <si>
    <t>Editor invitat:</t>
  </si>
  <si>
    <t>in strainatate: 50 pct / caz</t>
  </si>
  <si>
    <t>in tara:          30 pct / caz</t>
  </si>
  <si>
    <t>naţionale        (30 puncte x nr.)</t>
  </si>
  <si>
    <r>
      <t>internaţionale (</t>
    </r>
    <r>
      <rPr>
        <sz val="12"/>
        <color indexed="8"/>
        <rFont val="Times New Roman"/>
        <family val="1"/>
      </rPr>
      <t>60 puncte x nr.)</t>
    </r>
  </si>
  <si>
    <r>
      <t>naţionale         (</t>
    </r>
    <r>
      <rPr>
        <sz val="12"/>
        <color indexed="8"/>
        <rFont val="Times New Roman"/>
        <family val="1"/>
      </rPr>
      <t>30/20/15/15 puncte x nr.)</t>
    </r>
  </si>
  <si>
    <r>
      <t>naţionale          (</t>
    </r>
    <r>
      <rPr>
        <sz val="12"/>
        <color indexed="8"/>
        <rFont val="Times New Roman"/>
        <family val="1"/>
      </rPr>
      <t>10 puncte x nr.)</t>
    </r>
  </si>
  <si>
    <r>
      <t>internaţionale   (</t>
    </r>
    <r>
      <rPr>
        <sz val="12"/>
        <color indexed="8"/>
        <rFont val="Times New Roman"/>
        <family val="1"/>
      </rPr>
      <t>20 puncte x nr.)</t>
    </r>
  </si>
  <si>
    <r>
      <t>internaţionale   (</t>
    </r>
    <r>
      <rPr>
        <sz val="12"/>
        <color indexed="8"/>
        <rFont val="Times New Roman"/>
        <family val="1"/>
      </rPr>
      <t>60/40/30/30 puncte x nr.)</t>
    </r>
  </si>
  <si>
    <t>f. teze în cotutelă/îndrumare doctoranzi străini în stagiu 50 puncte x nr. doctoranzi</t>
  </si>
  <si>
    <t>l. Invited speaker conferinte / congrese:</t>
  </si>
  <si>
    <t>in tara:          15 pct/caz</t>
  </si>
  <si>
    <t>in strainatate: 30 pct/caz</t>
  </si>
  <si>
    <t>m. Membru în comisia de îndrumare la doctorat: 15 pct/caz (o comisie = 1 caz)</t>
  </si>
  <si>
    <t>n. Tutore de an la studenți: 10 pct/an</t>
  </si>
  <si>
    <t>k. Membru comisii admitere: 20 pct x nr de ani</t>
  </si>
  <si>
    <t>p. referent ştiinţific comisii de doctorat/reviste ştiinţifice:</t>
  </si>
  <si>
    <t xml:space="preserve"> naţionale         (20 puncte x nr. cazuri)</t>
  </si>
  <si>
    <t>1.3. Pentru incadrarea in categoria carti universitare/manuale/monografii, trebuie indeplinite cerintele prevazute in Normele privind folosirea materialelor publicate care au ISBN in evaluarile interne din cadrul USAMV Iasi, aprobate de Senat</t>
  </si>
  <si>
    <t>Total 3.1. Granturi / contracte</t>
  </si>
  <si>
    <t xml:space="preserve">3.1. Granturi / contracte
</t>
  </si>
  <si>
    <t>Director/responsabil partener: Vpi/500</t>
  </si>
  <si>
    <t>Director/responsabil partener: Vpi/500 in ultimii 5 ani</t>
  </si>
  <si>
    <t>Membru în colectivul de cercetare: Vpi/(500 x k)</t>
  </si>
  <si>
    <t>Membru în colectivul de cercetare: Vpi/(500 x k) 
in ultimii 5 ani</t>
  </si>
  <si>
    <t xml:space="preserve">3.2. Granturi/contracte din ultimii 5 ani (pe transe anuale) se cuantifica 100%   </t>
  </si>
  <si>
    <t>3.4. Proiecte de tip F.D.I. (pentru directorul de proiect)</t>
  </si>
  <si>
    <t>Director proiect: Vpi/800</t>
  </si>
  <si>
    <t>Director proiect: Vpi/800 in ultimii 5 ani</t>
  </si>
  <si>
    <r>
      <t xml:space="preserve">III. Granturi şi contracte de cercetare ştiinţifică, extensie, formare resurse umane și dezvoltare câştigate prin competiţie şi derulate prin USAMV din Iaşi, în ultimii 15 ani (N). </t>
    </r>
    <r>
      <rPr>
        <sz val="13"/>
        <color indexed="8"/>
        <rFont val="Times New Roman"/>
        <family val="1"/>
      </rPr>
      <t>Punctaj echivalent pentru 10 ani de activitate*: PE+3.2 (punctajul din ultimii 5 ani = 100%)+3.3</t>
    </r>
  </si>
  <si>
    <t>colegi:                     media .... x 10 pct.</t>
  </si>
  <si>
    <r>
      <t>dir. departament</t>
    </r>
    <r>
      <rPr>
        <i/>
        <sz val="12"/>
        <color indexed="8"/>
        <rFont val="Times New Roman"/>
        <family val="1"/>
      </rPr>
      <t xml:space="preserve">:    </t>
    </r>
    <r>
      <rPr>
        <sz val="12"/>
        <color indexed="8"/>
        <rFont val="Times New Roman"/>
        <family val="1"/>
      </rPr>
      <t>media … x 10 pct.</t>
    </r>
  </si>
  <si>
    <t>studenţi:                  media ... x 10 pct.</t>
  </si>
  <si>
    <t>EDITOR INVITAT în tara 30 pct/caz</t>
  </si>
  <si>
    <t>EDITOR INVITAT în stainatate 50 pct/caz</t>
  </si>
  <si>
    <t>m. Membru în comisia de îndrumare la doctorat: 15 pct/caz  
(o comisie = 1 caz)</t>
  </si>
  <si>
    <t>p. Referent ştiinţific comisii de doctorat /reviste ştiinţifice</t>
  </si>
  <si>
    <t>în străinătate: 30 pct/caz</t>
  </si>
  <si>
    <t>în ţară:                15 pct/caz</t>
  </si>
  <si>
    <t>k. Membru comisii admitere:             20 pct x ani</t>
  </si>
  <si>
    <r>
      <t xml:space="preserve">III. Granturi şi contracte de cercetare ştiinţifică, extensie, formare resurse umane și dezvoltare  câştigate prin competiţie şi derulate prin USAMV din Iaşi, în ultimii 15 ani </t>
    </r>
    <r>
      <rPr>
        <sz val="14"/>
        <color indexed="8"/>
        <rFont val="Calibri"/>
        <family val="2"/>
        <scheme val="minor"/>
      </rPr>
      <t>(N)</t>
    </r>
  </si>
  <si>
    <r>
      <t xml:space="preserve">Membru în colectivul de cercetare: </t>
    </r>
    <r>
      <rPr>
        <sz val="11"/>
        <color indexed="8"/>
        <rFont val="Calibri"/>
        <family val="2"/>
        <scheme val="minor"/>
      </rPr>
      <t xml:space="preserve">Vpi/(500 x k) </t>
    </r>
    <r>
      <rPr>
        <sz val="11"/>
        <color theme="1"/>
        <rFont val="Calibri"/>
        <family val="2"/>
        <scheme val="minor"/>
      </rPr>
      <t>in ultimii 5 ani</t>
    </r>
  </si>
  <si>
    <r>
      <t xml:space="preserve">Punctaj echivalent pentru 5 ani de activitate*: PE.4=(4.1+4.2+4.3+4.4+4.5) : (N-5) ani vechime x 5 ani 
</t>
    </r>
    <r>
      <rPr>
        <i/>
        <sz val="12"/>
        <color indexed="8"/>
        <rFont val="Calibri"/>
        <family val="2"/>
        <scheme val="minor"/>
      </rPr>
      <t>(la vechime mai mare de 10 ani)</t>
    </r>
  </si>
  <si>
    <r>
      <t>Academii de ramură (ASAS etc)</t>
    </r>
    <r>
      <rPr>
        <i/>
        <sz val="12"/>
        <color indexed="8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 xml:space="preserve"> 8</t>
    </r>
    <r>
      <rPr>
        <i/>
        <sz val="11"/>
        <color indexed="8"/>
        <rFont val="Calibri"/>
        <family val="2"/>
        <scheme val="minor"/>
      </rPr>
      <t>0 puncte x nr. ani</t>
    </r>
  </si>
  <si>
    <r>
      <t>în străinătate- Academii de specialitate recunoscute științific la nivel mondial: 100</t>
    </r>
    <r>
      <rPr>
        <i/>
        <sz val="11"/>
        <color indexed="8"/>
        <rFont val="Calibri"/>
        <family val="2"/>
        <scheme val="minor"/>
      </rPr>
      <t xml:space="preserve"> puncte x nr. ani</t>
    </r>
  </si>
  <si>
    <r>
      <t xml:space="preserve">în ţară: </t>
    </r>
    <r>
      <rPr>
        <i/>
        <sz val="11"/>
        <color indexed="8"/>
        <rFont val="Calibri"/>
        <family val="2"/>
        <scheme val="minor"/>
      </rPr>
      <t>10 puncte/fiecare societate (asociaţie) x nr. ani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</si>
  <si>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în străinătate: </t>
    </r>
    <r>
      <rPr>
        <i/>
        <sz val="11"/>
        <color indexed="8"/>
        <rFont val="Calibri"/>
        <family val="2"/>
        <scheme val="minor"/>
      </rPr>
      <t>20 puncte/fiecare societate (asociaţie) x nr. ani</t>
    </r>
  </si>
  <si>
    <r>
      <t xml:space="preserve">în ţară: </t>
    </r>
    <r>
      <rPr>
        <i/>
        <sz val="11"/>
        <color indexed="8"/>
        <rFont val="Calibri"/>
        <family val="2"/>
        <scheme val="minor"/>
      </rPr>
      <t>25 puncte/fiecare caz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</si>
  <si>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în străinătate:  </t>
    </r>
    <r>
      <rPr>
        <i/>
        <sz val="11"/>
        <color indexed="8"/>
        <rFont val="Calibri"/>
        <family val="2"/>
        <scheme val="minor"/>
      </rPr>
      <t>50 puncte/fiecare caz</t>
    </r>
  </si>
  <si>
    <t>studenţi:                                              media  ...  x 10 pct.</t>
  </si>
  <si>
    <t>colegi:                                                  media  ...  x 10 pct.</t>
  </si>
  <si>
    <t>dir. departament:                           media  ...  x 10 pct.</t>
  </si>
  <si>
    <r>
      <t xml:space="preserve">Punctaj echivalent pentru 5 ani de activitate* PE.1=(1.1+1.2+1.3):(N-5) ani vechime in invatamant * 5 ani 
</t>
    </r>
    <r>
      <rPr>
        <i/>
        <sz val="11"/>
        <color indexed="8"/>
        <rFont val="Calibri"/>
        <family val="2"/>
        <scheme val="minor"/>
      </rPr>
      <t>(la vechime mai mare de 10 ani)</t>
    </r>
  </si>
  <si>
    <r>
      <t xml:space="preserve">Punctaj echivalent pentru 5 ani de activitate* PE.2=(2.1+2.2):(N-5) ani vechime in invatamant * 5 ani 
</t>
    </r>
    <r>
      <rPr>
        <i/>
        <sz val="11"/>
        <color indexed="8"/>
        <rFont val="Calibri"/>
        <family val="2"/>
        <scheme val="minor"/>
      </rPr>
      <t>(la o vechime mai mare de 10 ani)</t>
    </r>
  </si>
  <si>
    <t>DEPARTAMENT</t>
  </si>
  <si>
    <t>FACULTATE</t>
  </si>
  <si>
    <t>completati cu majuscule</t>
  </si>
  <si>
    <t>FISA DE AUTOEVALUARE</t>
  </si>
  <si>
    <t>pentru acordarea gradatiei de merit in anul 2021, aprobata de Senatul Universitatii de Stiinte Agricole si Medicina Veterinara "Ion Ionescu de la Brad" din Iasi</t>
  </si>
  <si>
    <r>
      <t xml:space="preserve">naţionale - ARACIS, CNATDCU, CNCSIS, CNFIS etc: 
                                                                                             </t>
    </r>
    <r>
      <rPr>
        <i/>
        <sz val="11"/>
        <color indexed="8"/>
        <rFont val="Calibri"/>
        <family val="2"/>
        <scheme val="minor"/>
      </rPr>
      <t>100 puncte x nr. ani</t>
    </r>
  </si>
  <si>
    <t>naţionale (30 puncte x nr. cazuri)</t>
  </si>
  <si>
    <t>Nr. Cazuri</t>
  </si>
  <si>
    <t>internaţionale (60 puncte x nr. cazuri)</t>
  </si>
  <si>
    <t>2. Orice activitate cuantificată prin puncte trebuie să fie justificată printr-un document.</t>
  </si>
  <si>
    <t>3. Manifestare ştiinţifică internaţională : cea la care există colectiv de organizare internaţional, toate activităţile ştiinţifice se desfăşoară în engleză, iar ponderea participanţilor din străinătate de min. 50% din numărul total al participanţilor.</t>
  </si>
  <si>
    <t>4. Listele revistelor cotate ISI şi a celor din categoria B/B+ pot fi consultate pe site-urile http://science.thomsonreuters.com/cgi-bin/jrnlst/jloptions.cgi?PC=D, respectiv, www.cncs.ro</t>
  </si>
  <si>
    <t>5. Articolele publicate în reviste cotate ISI pot fi căutate prin site-ul : www.webofknowledge.com.</t>
  </si>
  <si>
    <t>7. Se va atasa xerocopia proiectului/ grantului din care sa rezultate calitatea avută de fiecare membru.</t>
  </si>
  <si>
    <t>8. ** = BDI din ordinele de ministru privind aprobarea criteriilor minime pentru conferentiar/profesor</t>
  </si>
  <si>
    <t>11. Candidatul va transmite la Comisia de verificare și fișa de calcul în format electronic.</t>
  </si>
  <si>
    <t>NOTA:1. La prezenta grilă se vor anexa următoarele : lista manualelor, îndrumătoarelor pe categorii de publicare  (autor(i), titlu; anul apariţiei, editura, ISBN, nr. de pagini la formatul cartii, nr. de  pagini la convertiore in format academic, nr de puncte rezultat din calcul); lista contractelor de cercetare câştigate (finanţator, cod/nr./an, titlu, colectiv cercetare ); lista lucrărilor ştiinţifice publicate (autor(ii), titlu, an, revista în care a fost publicată, locul, ISSN, pag., nr. de puncte rezultat din calcul); lista cărţilor/lucrărilor premiate (titlu, an, denumire premiu, instituţia/organismul ce l-a acordat) ; xerocopii pentru criteriile 5, 6, 7, 13, 14 şi 15; listele pentru criteriile 8 ,9, 10, 11; pentru lucrările ISI se precizează link-ul unde pot fi vizualizate; alte documente justificative; pentru criteriul 12, media reprezintă transpunerea pe scara de 1 la 10 a evaluării (după caz) ; se va anexa câte o pagină full text (fără titlu, figuti, tabele etc.) de la fiecare carte raportată.</t>
  </si>
  <si>
    <t>7. * = Punctajul echivalent se calculează numai pentru vechimea mai mare de 5 ani, conform formulelor de la Cap A si B. Pentru ultimii 5 ani, punctajul se cuantifica 100%.</t>
  </si>
  <si>
    <t>6.  Lista contractelor de cecetare va fi vizată de DCITT şi de Departamentului financiar contabil, prin care să se confirme derularea acestora prin USAMV din Iaşi şi valoarea bugetelor proiectelor (Vpi).</t>
  </si>
  <si>
    <t>9.*** = Se punctează societățile/asociațiile științifice sau profesionale la care candidatul are activitate de minimum 2 ani.</t>
  </si>
  <si>
    <t xml:space="preserve">10. Pentru îndrumări de lucrări/proiecte licență/diplomă/disertație se va atașa documentul eliberat de secretariatele facultăților. </t>
  </si>
  <si>
    <t>singur autor = 8 pct x nr. pag.</t>
  </si>
  <si>
    <t xml:space="preserve">colectiv autori = (8 pct x nr. pag.): nr. autori </t>
  </si>
  <si>
    <r>
      <t xml:space="preserve">3.2. Granturi/contracte din ultimii 5 ani (pe transe anuale) </t>
    </r>
    <r>
      <rPr>
        <b/>
        <i/>
        <sz val="12"/>
        <rFont val="Times New Roman"/>
        <family val="1"/>
      </rPr>
      <t>se cuantifica 100%</t>
    </r>
    <r>
      <rPr>
        <b/>
        <sz val="12"/>
        <rFont val="Times New Roman"/>
        <family val="1"/>
      </rPr>
      <t xml:space="preserve">             </t>
    </r>
  </si>
  <si>
    <t xml:space="preserve"> prim autor/coordonator/corespondent: +6 puncte/lucrare </t>
  </si>
  <si>
    <t>b. Lucrări publicate în extenso (full text papers)</t>
  </si>
  <si>
    <t xml:space="preserve"> prim autor/coordonator/corespondent: +20 puncte/lucrare</t>
  </si>
  <si>
    <t xml:space="preserve"> coautor: (100 +50 x FI puncte/lucrare): nr. autori</t>
  </si>
  <si>
    <t xml:space="preserve"> prim autor/coordonator/corespondent: +30 puncte/lucrare</t>
  </si>
  <si>
    <t xml:space="preserve"> coautor: (100 +100 x FI puncte/lucrare): nr. autori</t>
  </si>
  <si>
    <t>prim autor/coordonator/corespondent: F.I. ≥ 1:  +80 puncte/lucrare</t>
  </si>
  <si>
    <t>prim autor/coordonator/corespondent: zona galbena : +100 puncte/lucrare</t>
  </si>
  <si>
    <t xml:space="preserve"> coautor: (100 +200 x FI puncte/lucrare): nr. autori</t>
  </si>
  <si>
    <t xml:space="preserve"> prim autor/coordonator/corespondent: +120 puncte/lucrare</t>
  </si>
  <si>
    <t xml:space="preserve"> prim autor/coordonator/corespondent: + 20 puncte/lucrare </t>
  </si>
  <si>
    <t>4.4. În volume ale unor Congrese/Conferinţe internaţionale pe domenii cu ISBN/ISSN</t>
  </si>
  <si>
    <t xml:space="preserve"> prim autor/coordonator/corespondent:  + 12 puncte/lucrare </t>
  </si>
  <si>
    <t>4.5. În volume ale altor manifestări ştiintifice naţionale cu ISBN/ISSN</t>
  </si>
  <si>
    <t xml:space="preserve"> prim autor/coordonator/corespondent:  + 6 puncte/lucrare </t>
  </si>
  <si>
    <t xml:space="preserve">licenţă/diplomă/dizertaţie/gradatie de merit : 20 puncte x nr. ani </t>
  </si>
  <si>
    <t>comisii abilitare, concurs/promovare prof. sau conf.: 10 puncte/comisie</t>
  </si>
  <si>
    <t>XII. Evaluări (din anul precedent):</t>
  </si>
  <si>
    <t>XIII. Citări ale articolelor ISI/indexate ISI/BDI, în reviste cotate ISI 
(fără autocitări)</t>
  </si>
  <si>
    <r>
      <t>e. conducător ştiinţific doctorat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40 puncte x nr. ani</t>
    </r>
  </si>
  <si>
    <t>i. Responsabil cu întocmirea orarului: 30 pct/an</t>
  </si>
  <si>
    <t>La nivel de program de studiu 20 pct./an</t>
  </si>
  <si>
    <t>La nivel de facultate                30 pct./an</t>
  </si>
  <si>
    <t>La nivel de universitate            40 pct./an</t>
  </si>
  <si>
    <t xml:space="preserve">o. îndrumări lucrări de licenţă/diplomă/disertaţie: 5 puncte x nr. lucrări 
(maxim 5 lucr./an /program de studii si tip de lucrare) </t>
  </si>
  <si>
    <t xml:space="preserve"> internaţionale  (60 puncte x nr. cazuri)</t>
  </si>
  <si>
    <t>9 noiembrie 2020</t>
  </si>
  <si>
    <r>
      <t xml:space="preserve">singur autor = </t>
    </r>
    <r>
      <rPr>
        <b/>
        <sz val="11"/>
        <rFont val="Calibri"/>
        <family val="2"/>
        <scheme val="minor"/>
      </rPr>
      <t>8  pct. x nr. Pag</t>
    </r>
  </si>
  <si>
    <r>
      <t xml:space="preserve">singur autor = </t>
    </r>
    <r>
      <rPr>
        <b/>
        <sz val="11"/>
        <rFont val="Calibri"/>
        <family val="2"/>
        <scheme val="minor"/>
      </rPr>
      <t>8  pct. x nr. Pag</t>
    </r>
    <r>
      <rPr>
        <sz val="11"/>
        <rFont val="Calibri"/>
        <family val="2"/>
        <scheme val="minor"/>
      </rPr>
      <t xml:space="preserve"> in ultimii 5 ani</t>
    </r>
  </si>
  <si>
    <r>
      <t>colectiv autori =</t>
    </r>
    <r>
      <rPr>
        <b/>
        <sz val="11"/>
        <rFont val="Calibri"/>
        <family val="2"/>
        <scheme val="minor"/>
      </rPr>
      <t xml:space="preserve"> (8  pct. x nr. pag) : nr. autori </t>
    </r>
  </si>
  <si>
    <r>
      <t xml:space="preserve">colectiv autori = </t>
    </r>
    <r>
      <rPr>
        <b/>
        <sz val="11"/>
        <rFont val="Calibri"/>
        <family val="2"/>
        <scheme val="minor"/>
      </rPr>
      <t>(8  pct. x nr. pag) : nr. autori</t>
    </r>
    <r>
      <rPr>
        <sz val="11"/>
        <rFont val="Calibri"/>
        <family val="2"/>
        <scheme val="minor"/>
      </rPr>
      <t xml:space="preserve"> in ultimii 5 ani</t>
    </r>
  </si>
  <si>
    <t>coautor:  (100 +50*FI puncte/lucrare) : nr. autori</t>
  </si>
  <si>
    <t>coautor:  (100 +50*FI puncte/lucrare ): nr. autori in ultimii 5 ani</t>
  </si>
  <si>
    <t>coautor:  (100 +100*FI puncte/lucrare) : nr. autori</t>
  </si>
  <si>
    <t>coautor:  (100 +200*FI puncte/lucrare) : nr. autori</t>
  </si>
  <si>
    <t xml:space="preserve">prim autor/coordonator: = +3 pct./lucrare </t>
  </si>
  <si>
    <t>prim autor/coordonator = +3 pct./lucrare in ultimii 5 ani</t>
  </si>
  <si>
    <t xml:space="preserve">prim autor/coordonator = +6 pct./lucrare </t>
  </si>
  <si>
    <t>prim autor/coordonator = +6 pct./lucrare in ultimii 5 ani</t>
  </si>
  <si>
    <t xml:space="preserve">prim autor/coordonator/corespondent = +6 pct./lucrare </t>
  </si>
  <si>
    <t>prim autor/coordonator/corespondent = +6 pct./lucrare in ultimii 5 ani</t>
  </si>
  <si>
    <t xml:space="preserve">prim autor/coordonator/corespondent = +20 pct./lucrare </t>
  </si>
  <si>
    <t>prim autor/coordonator/corespondent = +20 pct./lucrare in ultimii 5 ani</t>
  </si>
  <si>
    <t xml:space="preserve">prim autor/coordonator/corespondent = +30 pct./lucrare </t>
  </si>
  <si>
    <t>prim autor/coordonator/corespondent = +30 pct./lucrare  in ultimii 5 ani</t>
  </si>
  <si>
    <t xml:space="preserve">prim autor/coordonator/corespondent F.I. ≥ 1: +80 pct./lucrare </t>
  </si>
  <si>
    <t xml:space="preserve">prim autor/coordonator/corespondent zona galbena: +100 pct./lucrare </t>
  </si>
  <si>
    <t>prim autor/coordonator/corespondent zona galbena: +100 pct./lucrare  ultimii 5 ani</t>
  </si>
  <si>
    <t>prim autor/coordonator/corespondent F.I. ≥ 1: +80 pct./lucrare  
ultimii 5 ani</t>
  </si>
  <si>
    <t xml:space="preserve">prim autor/coordonator/corespondent = +120 pct./lucrare </t>
  </si>
  <si>
    <t>prim autor/coordonator/corespondent = +120 pct./lucrare  in ultimii 5 ani</t>
  </si>
  <si>
    <t xml:space="preserve">prim autor/coordonator/corespondent = +12 pct./lucrare </t>
  </si>
  <si>
    <t>prim autor/coordonator/corespondent = +12 pct./lucrare in ultimii 5 ani</t>
  </si>
  <si>
    <t>prim autor / coordonator = +3 pct./lucrare in ultimii 5 ani</t>
  </si>
  <si>
    <t>prim autor / coordonator = +6 pct./lucrare in ultimii 5 ani</t>
  </si>
  <si>
    <t>prim autor/coordonator/corespondent  F.I. ≥ 1: +80 pct./lucrare  ultimii 5 ani</t>
  </si>
  <si>
    <t>prim autor/coordonator/corespondent  zona galbena: +100 pct./lucrare  ultimii 5 ani</t>
  </si>
  <si>
    <t>prim autor/coordonator/corespondent  = +120 pct./lucrare  in ultimii 5 ani</t>
  </si>
  <si>
    <t>prim autor/coordonator/corespondent  = +20 pct./lucrare in ultimii 5 ani</t>
  </si>
  <si>
    <t>prim autor/coordonator/corespondent  = +12 pct./lucrare in ultimii 5 ani</t>
  </si>
  <si>
    <t>prim autor/coordonator/corespondent  = +6 pct./lucrare in ultimii 5 ani</t>
  </si>
  <si>
    <t>Punctaj echivalent pentru 10 ani de activitate* PE+3.2 (punctajul din ultimii 5 ani  = 100%) + 3.3 
PE= (3.1+3.4):(N-5) ani x 5 ani; 
Vpi = valoarea proiectului/contractului calculată în EURO, la cursul de schimb euro/leu din perioada derulării grantului). k = numar de membri</t>
  </si>
  <si>
    <r>
      <t>licenţă/diplomă/dizertaţie/gradatie de merit : 2</t>
    </r>
    <r>
      <rPr>
        <i/>
        <sz val="11"/>
        <rFont val="Calibri"/>
        <family val="2"/>
        <scheme val="minor"/>
      </rPr>
      <t>0 puncte x nr. ani</t>
    </r>
    <r>
      <rPr>
        <sz val="11"/>
        <rFont val="Calibri"/>
        <family val="2"/>
        <scheme val="minor"/>
      </rPr>
      <t xml:space="preserve"> </t>
    </r>
  </si>
  <si>
    <t>comisii abilitare, concurs/ promovare prof. sau conf: 
10 puncte/comisie</t>
  </si>
  <si>
    <t>e. conducător ştiinţific doctorat  40 puncte x nr. Ani</t>
  </si>
  <si>
    <t>i. - responsabil cu întocmirea orarului: 30 pct/an</t>
  </si>
  <si>
    <r>
      <t xml:space="preserve">La nivel de program de studiu </t>
    </r>
    <r>
      <rPr>
        <b/>
        <sz val="11"/>
        <rFont val="Calibri"/>
        <family val="2"/>
        <scheme val="minor"/>
      </rPr>
      <t>20 pct./an</t>
    </r>
  </si>
  <si>
    <r>
      <t xml:space="preserve">La nivel de facultate                    </t>
    </r>
    <r>
      <rPr>
        <b/>
        <sz val="11"/>
        <rFont val="Calibri"/>
        <family val="2"/>
        <scheme val="minor"/>
      </rPr>
      <t>30 pct./an</t>
    </r>
  </si>
  <si>
    <r>
      <t xml:space="preserve">La nivel de universitate             </t>
    </r>
    <r>
      <rPr>
        <b/>
        <sz val="11"/>
        <rFont val="Calibri"/>
        <family val="2"/>
        <scheme val="minor"/>
      </rPr>
      <t>40 pct./an</t>
    </r>
  </si>
  <si>
    <t>o. Indrumări lucrări de licenţă/diplomă/disertaţie 5 puncte x nr. lucrări (maxim 5 lucr./an / program de studii si tip de lucrare)</t>
  </si>
  <si>
    <r>
      <t>internaţionale (</t>
    </r>
    <r>
      <rPr>
        <b/>
        <sz val="11"/>
        <rFont val="Calibri"/>
        <family val="2"/>
        <scheme val="minor"/>
      </rPr>
      <t>60 puncte x nr.</t>
    </r>
    <r>
      <rPr>
        <sz val="11"/>
        <rFont val="Calibri"/>
        <family val="2"/>
        <scheme val="minor"/>
      </rPr>
      <t>)</t>
    </r>
  </si>
  <si>
    <t>PE= ( 3.1+3.4 ) : (N-5) ani x 5 ani; (Vpi = valoarea proiectului/contractului calculată în EURO, la cursul de schimb euro/leu din perioada derulării grantului), k = numar de membri</t>
  </si>
  <si>
    <r>
      <t xml:space="preserve">coordonator lucrare/prim autor = </t>
    </r>
    <r>
      <rPr>
        <i/>
        <sz val="12"/>
        <color indexed="8"/>
        <rFont val="Times New Roman"/>
        <family val="1"/>
      </rPr>
      <t>+25% din pct. total</t>
    </r>
  </si>
  <si>
    <t>coordonator lucrare/prim autor = +25% din pct. total</t>
  </si>
  <si>
    <r>
      <t xml:space="preserve">coordonator lucrare = </t>
    </r>
    <r>
      <rPr>
        <i/>
        <sz val="12"/>
        <color indexed="8"/>
        <rFont val="Times New Roman"/>
        <family val="1"/>
      </rPr>
      <t>+25% din pct. total</t>
    </r>
  </si>
  <si>
    <t>coordonator lucrare/prim autor = +25% din pct. total in ultimii 5 ani</t>
  </si>
  <si>
    <t>coordonator lucrare = +25% din pct. total</t>
  </si>
  <si>
    <t>coordonator lucrare = +25% din pct. total in ultimii 5 ani</t>
  </si>
  <si>
    <t>singur autor = 8  pct. x nr. Pag</t>
  </si>
  <si>
    <t>colectiv autori = (8  pct. x nr. pag) : nr. Autori</t>
  </si>
  <si>
    <t>b. membru în structurile de conducere USAMV Iași:
Senat, Consiliul de administrație: (60 pct. x nr. ani); 
membru în Consiliul facultății: (40 pct. x nr. ani); 
membru în CSUD: IOSUD-USAMV Iași (50 pct. x nr. ani), 
IOSUD-alte universități (60 pct. x nr. ani)</t>
  </si>
  <si>
    <t>membru in CSUD: IOSUD-USAMV Iasi (50 pct x nr. Ani)</t>
  </si>
  <si>
    <t>IOSUD - alte universitati (60 pct x nr. Ani)</t>
  </si>
  <si>
    <t>Senat, Consiliul de administrație: (60 pct. x nr. ani); 
membru în Consiliul facultății: (40 pct. x nr. ani); 
membru în CSUD: IOSUD-USAMV Iași (50 pct. x nr. ani), 
IOSUD-alte universități (60 pct. x nr. ani)</t>
  </si>
  <si>
    <t>concurs Decan, Director CSUS: 20 puncte /comisie</t>
  </si>
  <si>
    <t>concurs Decan, Director CSUD: 20 puncte/comisie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</si>
</sst>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2060"/>
      <name val="Times New Roman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theme="3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386">
    <xf numFmtId="0" fontId="0" fillId="0" borderId="0" xfId="0"/>
    <xf numFmtId="0" fontId="0" fillId="0" borderId="0" xfId="0" applyAlignment="1"/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2" fillId="0" borderId="69" xfId="0" applyFont="1" applyBorder="1" applyProtection="1">
      <protection locked="0"/>
    </xf>
    <xf numFmtId="0" fontId="12" fillId="0" borderId="69" xfId="0" applyFont="1" applyBorder="1"/>
    <xf numFmtId="0" fontId="12" fillId="0" borderId="70" xfId="0" applyFont="1" applyBorder="1"/>
    <xf numFmtId="0" fontId="12" fillId="0" borderId="7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wrapText="1"/>
    </xf>
    <xf numFmtId="0" fontId="10" fillId="0" borderId="10" xfId="0" applyFont="1" applyFill="1" applyBorder="1" applyProtection="1"/>
    <xf numFmtId="0" fontId="15" fillId="0" borderId="6" xfId="0" applyFont="1" applyFill="1" applyBorder="1" applyProtection="1"/>
    <xf numFmtId="0" fontId="10" fillId="0" borderId="14" xfId="0" applyFont="1" applyFill="1" applyBorder="1" applyAlignment="1" applyProtection="1"/>
    <xf numFmtId="0" fontId="16" fillId="0" borderId="6" xfId="1" applyFont="1" applyFill="1" applyBorder="1" applyProtection="1"/>
    <xf numFmtId="0" fontId="17" fillId="0" borderId="6" xfId="1" applyFont="1" applyFill="1" applyBorder="1" applyProtection="1"/>
    <xf numFmtId="0" fontId="17" fillId="0" borderId="14" xfId="1" applyFont="1" applyFill="1" applyBorder="1" applyProtection="1"/>
    <xf numFmtId="0" fontId="17" fillId="0" borderId="3" xfId="1" applyFont="1" applyFill="1" applyBorder="1" applyProtection="1"/>
    <xf numFmtId="0" fontId="17" fillId="0" borderId="12" xfId="1" applyFont="1" applyFill="1" applyBorder="1" applyProtection="1"/>
    <xf numFmtId="0" fontId="17" fillId="0" borderId="6" xfId="1" applyFont="1" applyFill="1" applyBorder="1" applyProtection="1">
      <protection locked="0"/>
    </xf>
    <xf numFmtId="2" fontId="17" fillId="0" borderId="10" xfId="1" applyNumberFormat="1" applyFont="1" applyFill="1" applyBorder="1"/>
    <xf numFmtId="0" fontId="17" fillId="0" borderId="7" xfId="1" applyFont="1" applyFill="1" applyBorder="1" applyProtection="1"/>
    <xf numFmtId="0" fontId="0" fillId="0" borderId="10" xfId="0" applyFont="1" applyFill="1" applyBorder="1" applyProtection="1"/>
    <xf numFmtId="0" fontId="0" fillId="0" borderId="6" xfId="0" applyFont="1" applyFill="1" applyBorder="1" applyProtection="1"/>
    <xf numFmtId="0" fontId="0" fillId="0" borderId="3" xfId="0" applyFont="1" applyFill="1" applyBorder="1" applyProtection="1"/>
    <xf numFmtId="0" fontId="0" fillId="0" borderId="8" xfId="0" applyFont="1" applyFill="1" applyBorder="1" applyProtection="1"/>
    <xf numFmtId="0" fontId="10" fillId="0" borderId="6" xfId="0" applyFont="1" applyFill="1" applyBorder="1" applyProtection="1"/>
    <xf numFmtId="0" fontId="1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0" fontId="10" fillId="0" borderId="15" xfId="0" applyFont="1" applyFill="1" applyBorder="1" applyProtection="1"/>
    <xf numFmtId="0" fontId="0" fillId="0" borderId="6" xfId="0" applyFont="1" applyFill="1" applyBorder="1" applyProtection="1">
      <protection locked="0"/>
    </xf>
    <xf numFmtId="0" fontId="0" fillId="0" borderId="8" xfId="0" applyFont="1" applyFill="1" applyBorder="1" applyAlignment="1" applyProtection="1">
      <alignment horizontal="centerContinuous" vertical="center"/>
    </xf>
    <xf numFmtId="0" fontId="0" fillId="0" borderId="11" xfId="0" applyFont="1" applyFill="1" applyBorder="1" applyAlignment="1" applyProtection="1">
      <alignment horizontal="centerContinuous" vertical="center"/>
    </xf>
    <xf numFmtId="0" fontId="0" fillId="0" borderId="11" xfId="0" applyFont="1" applyFill="1" applyBorder="1" applyProtection="1"/>
    <xf numFmtId="2" fontId="0" fillId="0" borderId="11" xfId="0" applyNumberFormat="1" applyFont="1" applyFill="1" applyBorder="1"/>
    <xf numFmtId="0" fontId="0" fillId="0" borderId="12" xfId="0" applyFont="1" applyFill="1" applyBorder="1" applyProtection="1"/>
    <xf numFmtId="0" fontId="0" fillId="0" borderId="13" xfId="0" applyFont="1" applyFill="1" applyBorder="1" applyProtection="1"/>
    <xf numFmtId="0" fontId="0" fillId="0" borderId="0" xfId="0" applyFont="1" applyFill="1"/>
    <xf numFmtId="2" fontId="0" fillId="0" borderId="20" xfId="0" applyNumberFormat="1" applyFont="1" applyFill="1" applyBorder="1"/>
    <xf numFmtId="0" fontId="0" fillId="0" borderId="6" xfId="0" applyFont="1" applyFill="1" applyBorder="1" applyAlignment="1" applyProtection="1">
      <alignment horizontal="center" wrapText="1"/>
    </xf>
    <xf numFmtId="2" fontId="0" fillId="0" borderId="2" xfId="0" applyNumberFormat="1" applyFont="1" applyFill="1" applyBorder="1"/>
    <xf numFmtId="0" fontId="0" fillId="0" borderId="6" xfId="0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/>
    <xf numFmtId="0" fontId="0" fillId="0" borderId="7" xfId="0" applyFont="1" applyFill="1" applyBorder="1" applyProtection="1"/>
    <xf numFmtId="0" fontId="0" fillId="0" borderId="14" xfId="0" applyFont="1" applyFill="1" applyBorder="1" applyProtection="1"/>
    <xf numFmtId="0" fontId="0" fillId="0" borderId="21" xfId="0" applyFont="1" applyFill="1" applyBorder="1" applyProtection="1"/>
    <xf numFmtId="2" fontId="0" fillId="0" borderId="22" xfId="0" applyNumberFormat="1" applyFont="1" applyFill="1" applyBorder="1"/>
    <xf numFmtId="0" fontId="0" fillId="0" borderId="23" xfId="0" applyFont="1" applyFill="1" applyBorder="1" applyProtection="1"/>
    <xf numFmtId="2" fontId="0" fillId="0" borderId="24" xfId="0" applyNumberFormat="1" applyFont="1" applyFill="1" applyBorder="1"/>
    <xf numFmtId="0" fontId="0" fillId="0" borderId="7" xfId="0" applyFont="1" applyFill="1" applyBorder="1" applyProtection="1">
      <protection locked="0"/>
    </xf>
    <xf numFmtId="0" fontId="0" fillId="0" borderId="15" xfId="0" applyFont="1" applyFill="1" applyBorder="1" applyProtection="1"/>
    <xf numFmtId="0" fontId="0" fillId="0" borderId="16" xfId="0" applyFont="1" applyFill="1" applyBorder="1" applyProtection="1"/>
    <xf numFmtId="2" fontId="0" fillId="0" borderId="7" xfId="0" applyNumberFormat="1" applyFont="1" applyFill="1" applyBorder="1"/>
    <xf numFmtId="2" fontId="0" fillId="0" borderId="6" xfId="0" applyNumberFormat="1" applyFont="1" applyFill="1" applyBorder="1"/>
    <xf numFmtId="0" fontId="0" fillId="0" borderId="17" xfId="0" applyFont="1" applyFill="1" applyBorder="1" applyProtection="1"/>
    <xf numFmtId="2" fontId="0" fillId="0" borderId="18" xfId="0" applyNumberFormat="1" applyFont="1" applyFill="1" applyBorder="1"/>
    <xf numFmtId="0" fontId="18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wrapText="1"/>
    </xf>
    <xf numFmtId="0" fontId="18" fillId="0" borderId="7" xfId="0" applyFont="1" applyFill="1" applyBorder="1" applyProtection="1"/>
    <xf numFmtId="0" fontId="18" fillId="0" borderId="7" xfId="0" applyFont="1" applyFill="1" applyBorder="1" applyAlignment="1" applyProtection="1">
      <alignment vertical="center"/>
    </xf>
    <xf numFmtId="2" fontId="18" fillId="0" borderId="7" xfId="0" applyNumberFormat="1" applyFont="1" applyFill="1" applyBorder="1" applyAlignment="1">
      <alignment vertical="center"/>
    </xf>
    <xf numFmtId="2" fontId="10" fillId="0" borderId="9" xfId="0" applyNumberFormat="1" applyFont="1" applyFill="1" applyBorder="1"/>
    <xf numFmtId="2" fontId="0" fillId="0" borderId="25" xfId="0" applyNumberFormat="1" applyFont="1" applyFill="1" applyBorder="1"/>
    <xf numFmtId="0" fontId="0" fillId="0" borderId="25" xfId="0" applyFont="1" applyFill="1" applyBorder="1" applyProtection="1"/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2" fillId="0" borderId="0" xfId="0" applyFont="1" applyAlignment="1">
      <alignment wrapText="1"/>
    </xf>
    <xf numFmtId="0" fontId="19" fillId="0" borderId="26" xfId="0" applyFont="1" applyFill="1" applyBorder="1" applyAlignment="1" applyProtection="1">
      <alignment horizontal="centerContinuous"/>
    </xf>
    <xf numFmtId="0" fontId="20" fillId="0" borderId="15" xfId="0" applyFont="1" applyFill="1" applyBorder="1" applyAlignment="1" applyProtection="1">
      <alignment horizontal="centerContinuous"/>
    </xf>
    <xf numFmtId="0" fontId="17" fillId="0" borderId="12" xfId="1" applyFont="1" applyFill="1" applyBorder="1" applyAlignment="1" applyProtection="1">
      <alignment horizontal="center" vertical="center" wrapText="1"/>
    </xf>
    <xf numFmtId="2" fontId="10" fillId="0" borderId="29" xfId="0" applyNumberFormat="1" applyFont="1" applyFill="1" applyBorder="1"/>
    <xf numFmtId="2" fontId="10" fillId="0" borderId="9" xfId="0" applyNumberFormat="1" applyFont="1" applyFill="1" applyBorder="1" applyAlignment="1">
      <alignment vertical="center"/>
    </xf>
    <xf numFmtId="0" fontId="19" fillId="0" borderId="3" xfId="0" applyFont="1" applyFill="1" applyBorder="1" applyAlignment="1" applyProtection="1"/>
    <xf numFmtId="0" fontId="21" fillId="0" borderId="15" xfId="0" applyFont="1" applyFill="1" applyBorder="1" applyProtection="1"/>
    <xf numFmtId="0" fontId="22" fillId="0" borderId="15" xfId="0" applyFont="1" applyFill="1" applyBorder="1" applyProtection="1"/>
    <xf numFmtId="0" fontId="21" fillId="0" borderId="0" xfId="0" applyFont="1" applyFill="1"/>
    <xf numFmtId="0" fontId="21" fillId="0" borderId="15" xfId="0" applyFont="1" applyFill="1" applyBorder="1" applyAlignment="1" applyProtection="1">
      <alignment vertical="center" wrapText="1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wrapText="1"/>
    </xf>
    <xf numFmtId="2" fontId="21" fillId="0" borderId="9" xfId="0" applyNumberFormat="1" applyFont="1" applyFill="1" applyBorder="1" applyProtection="1"/>
    <xf numFmtId="2" fontId="10" fillId="0" borderId="36" xfId="0" applyNumberFormat="1" applyFont="1" applyFill="1" applyBorder="1" applyAlignment="1">
      <alignment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wrapText="1"/>
    </xf>
    <xf numFmtId="0" fontId="24" fillId="0" borderId="0" xfId="0" applyFont="1" applyFill="1"/>
    <xf numFmtId="2" fontId="0" fillId="0" borderId="3" xfId="0" applyNumberFormat="1" applyFont="1" applyFill="1" applyBorder="1" applyProtection="1"/>
    <xf numFmtId="2" fontId="0" fillId="0" borderId="14" xfId="0" applyNumberFormat="1" applyFont="1" applyFill="1" applyBorder="1" applyProtection="1"/>
    <xf numFmtId="2" fontId="0" fillId="0" borderId="12" xfId="0" applyNumberFormat="1" applyFont="1" applyFill="1" applyBorder="1" applyProtection="1"/>
    <xf numFmtId="2" fontId="0" fillId="0" borderId="37" xfId="0" applyNumberFormat="1" applyFont="1" applyFill="1" applyBorder="1" applyProtection="1"/>
    <xf numFmtId="2" fontId="0" fillId="0" borderId="8" xfId="0" applyNumberFormat="1" applyFont="1" applyFill="1" applyBorder="1" applyProtection="1"/>
    <xf numFmtId="2" fontId="0" fillId="0" borderId="16" xfId="0" applyNumberFormat="1" applyFont="1" applyFill="1" applyBorder="1" applyProtection="1"/>
    <xf numFmtId="0" fontId="19" fillId="0" borderId="10" xfId="0" applyFont="1" applyFill="1" applyBorder="1" applyAlignment="1" applyProtection="1">
      <alignment horizontal="centerContinuous" vertical="center"/>
    </xf>
    <xf numFmtId="0" fontId="19" fillId="0" borderId="3" xfId="0" applyFont="1" applyFill="1" applyBorder="1" applyAlignment="1" applyProtection="1">
      <alignment horizontal="centerContinuous" vertical="center"/>
    </xf>
    <xf numFmtId="0" fontId="19" fillId="0" borderId="26" xfId="0" applyFont="1" applyFill="1" applyBorder="1" applyProtection="1"/>
    <xf numFmtId="2" fontId="10" fillId="0" borderId="36" xfId="0" applyNumberFormat="1" applyFont="1" applyFill="1" applyBorder="1"/>
    <xf numFmtId="0" fontId="22" fillId="0" borderId="15" xfId="0" applyFont="1" applyFill="1" applyBorder="1" applyAlignment="1" applyProtection="1">
      <alignment horizontal="centerContinuous"/>
    </xf>
    <xf numFmtId="0" fontId="13" fillId="3" borderId="38" xfId="0" applyFont="1" applyFill="1" applyBorder="1" applyAlignment="1">
      <alignment vertical="top" wrapText="1"/>
    </xf>
    <xf numFmtId="2" fontId="13" fillId="3" borderId="39" xfId="0" applyNumberFormat="1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left" vertical="top" wrapText="1" indent="2"/>
    </xf>
    <xf numFmtId="2" fontId="13" fillId="3" borderId="27" xfId="0" applyNumberFormat="1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left" vertical="top" wrapText="1" indent="4"/>
    </xf>
    <xf numFmtId="2" fontId="12" fillId="3" borderId="27" xfId="0" applyNumberFormat="1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vertical="top" wrapText="1"/>
    </xf>
    <xf numFmtId="0" fontId="13" fillId="3" borderId="40" xfId="0" applyFont="1" applyFill="1" applyBorder="1" applyAlignment="1">
      <alignment horizontal="left" vertical="top" wrapText="1" indent="2"/>
    </xf>
    <xf numFmtId="2" fontId="12" fillId="3" borderId="4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top" wrapText="1"/>
    </xf>
    <xf numFmtId="0" fontId="13" fillId="3" borderId="26" xfId="0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vertical="top" wrapText="1"/>
    </xf>
    <xf numFmtId="0" fontId="14" fillId="3" borderId="42" xfId="0" applyFont="1" applyFill="1" applyBorder="1" applyAlignment="1">
      <alignment horizontal="center" vertical="top" wrapText="1"/>
    </xf>
    <xf numFmtId="0" fontId="13" fillId="3" borderId="43" xfId="0" applyFont="1" applyFill="1" applyBorder="1" applyAlignment="1">
      <alignment horizontal="center" vertical="center" wrapText="1"/>
    </xf>
    <xf numFmtId="2" fontId="13" fillId="3" borderId="44" xfId="0" applyNumberFormat="1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vertical="top" wrapText="1"/>
    </xf>
    <xf numFmtId="0" fontId="13" fillId="3" borderId="46" xfId="0" applyFont="1" applyFill="1" applyBorder="1" applyAlignment="1">
      <alignment horizontal="center" vertical="center" wrapText="1"/>
    </xf>
    <xf numFmtId="2" fontId="13" fillId="3" borderId="47" xfId="0" applyNumberFormat="1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vertical="top" wrapText="1"/>
    </xf>
    <xf numFmtId="0" fontId="26" fillId="3" borderId="48" xfId="0" applyFont="1" applyFill="1" applyBorder="1" applyAlignment="1">
      <alignment horizontal="center" vertical="center" wrapText="1"/>
    </xf>
    <xf numFmtId="2" fontId="13" fillId="3" borderId="49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top" wrapText="1"/>
    </xf>
    <xf numFmtId="0" fontId="12" fillId="3" borderId="50" xfId="0" applyFont="1" applyFill="1" applyBorder="1" applyAlignment="1">
      <alignment horizontal="left" vertical="top" wrapText="1" indent="4"/>
    </xf>
    <xf numFmtId="0" fontId="12" fillId="3" borderId="38" xfId="0" applyFont="1" applyFill="1" applyBorder="1" applyAlignment="1">
      <alignment horizontal="left" vertical="top" wrapText="1" indent="4"/>
    </xf>
    <xf numFmtId="2" fontId="12" fillId="3" borderId="39" xfId="0" applyNumberFormat="1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left" vertical="top" wrapText="1" indent="4"/>
    </xf>
    <xf numFmtId="2" fontId="12" fillId="3" borderId="5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12" fillId="3" borderId="57" xfId="0" applyFont="1" applyFill="1" applyBorder="1" applyAlignment="1">
      <alignment horizontal="left" vertical="top" wrapText="1" indent="4"/>
    </xf>
    <xf numFmtId="0" fontId="12" fillId="3" borderId="58" xfId="0" applyFont="1" applyFill="1" applyBorder="1" applyAlignment="1">
      <alignment horizontal="left" vertical="top" wrapText="1" indent="4"/>
    </xf>
    <xf numFmtId="0" fontId="26" fillId="3" borderId="2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left" vertical="top" wrapText="1" indent="2"/>
    </xf>
    <xf numFmtId="0" fontId="17" fillId="0" borderId="6" xfId="1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Protection="1">
      <protection locked="0"/>
    </xf>
    <xf numFmtId="2" fontId="12" fillId="3" borderId="25" xfId="0" applyNumberFormat="1" applyFon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12" fillId="3" borderId="59" xfId="0" applyNumberFormat="1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 applyProtection="1">
      <alignment horizontal="center" vertical="center"/>
    </xf>
    <xf numFmtId="0" fontId="12" fillId="0" borderId="0" xfId="0" applyNumberFormat="1" applyFont="1" applyAlignment="1" applyProtection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0" borderId="0" xfId="0" applyFont="1"/>
    <xf numFmtId="0" fontId="27" fillId="0" borderId="75" xfId="0" applyFont="1" applyBorder="1" applyAlignment="1" applyProtection="1">
      <alignment horizontal="center" vertical="center" wrapText="1"/>
      <protection locked="0"/>
    </xf>
    <xf numFmtId="2" fontId="10" fillId="0" borderId="36" xfId="0" applyNumberFormat="1" applyFont="1" applyFill="1" applyBorder="1" applyAlignment="1">
      <alignment vertical="center"/>
    </xf>
    <xf numFmtId="2" fontId="10" fillId="0" borderId="11" xfId="0" applyNumberFormat="1" applyFont="1" applyFill="1" applyBorder="1"/>
    <xf numFmtId="2" fontId="10" fillId="0" borderId="60" xfId="0" applyNumberFormat="1" applyFont="1" applyFill="1" applyBorder="1"/>
    <xf numFmtId="2" fontId="16" fillId="0" borderId="2" xfId="1" applyNumberFormat="1" applyFont="1" applyFill="1" applyBorder="1" applyAlignment="1">
      <alignment vertical="center"/>
    </xf>
    <xf numFmtId="2" fontId="16" fillId="0" borderId="9" xfId="1" applyNumberFormat="1" applyFont="1" applyFill="1" applyBorder="1"/>
    <xf numFmtId="2" fontId="10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21" fillId="0" borderId="15" xfId="0" applyFont="1" applyFill="1" applyBorder="1" applyAlignment="1" applyProtection="1">
      <alignment horizontal="center"/>
    </xf>
    <xf numFmtId="0" fontId="17" fillId="0" borderId="10" xfId="1" applyFont="1" applyFill="1" applyBorder="1" applyProtection="1"/>
    <xf numFmtId="0" fontId="17" fillId="0" borderId="17" xfId="1" applyFont="1" applyFill="1" applyBorder="1" applyProtection="1"/>
    <xf numFmtId="2" fontId="13" fillId="3" borderId="51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0" fontId="28" fillId="3" borderId="53" xfId="0" applyFont="1" applyFill="1" applyBorder="1" applyAlignment="1">
      <alignment horizontal="left" vertical="top" wrapText="1" indent="4"/>
    </xf>
    <xf numFmtId="2" fontId="13" fillId="3" borderId="12" xfId="0" applyNumberFormat="1" applyFont="1" applyFill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vertical="top"/>
    </xf>
    <xf numFmtId="0" fontId="0" fillId="0" borderId="6" xfId="0" applyFont="1" applyFill="1" applyBorder="1" applyAlignment="1" applyProtection="1">
      <alignment vertical="top" wrapText="1"/>
    </xf>
    <xf numFmtId="0" fontId="10" fillId="0" borderId="12" xfId="0" applyFont="1" applyFill="1" applyBorder="1" applyAlignment="1" applyProtection="1">
      <alignment horizontal="center" vertical="center"/>
    </xf>
    <xf numFmtId="2" fontId="0" fillId="0" borderId="36" xfId="0" applyNumberFormat="1" applyFont="1" applyFill="1" applyBorder="1"/>
    <xf numFmtId="2" fontId="12" fillId="3" borderId="22" xfId="0" applyNumberFormat="1" applyFont="1" applyFill="1" applyBorder="1" applyAlignment="1">
      <alignment horizontal="center" vertical="center" wrapText="1"/>
    </xf>
    <xf numFmtId="2" fontId="12" fillId="3" borderId="2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indent="4"/>
    </xf>
    <xf numFmtId="0" fontId="23" fillId="0" borderId="6" xfId="0" applyFont="1" applyFill="1" applyBorder="1" applyAlignment="1" applyProtection="1">
      <alignment horizontal="left" indent="4"/>
    </xf>
    <xf numFmtId="0" fontId="23" fillId="0" borderId="10" xfId="0" applyFont="1" applyFill="1" applyBorder="1" applyAlignment="1" applyProtection="1">
      <alignment horizontal="left" indent="4"/>
    </xf>
    <xf numFmtId="0" fontId="23" fillId="0" borderId="7" xfId="0" applyFont="1" applyFill="1" applyBorder="1" applyAlignment="1" applyProtection="1">
      <alignment horizontal="left" indent="4"/>
    </xf>
    <xf numFmtId="0" fontId="0" fillId="0" borderId="10" xfId="0" applyFont="1" applyFill="1" applyBorder="1" applyAlignment="1" applyProtection="1">
      <alignment horizontal="left" indent="4"/>
    </xf>
    <xf numFmtId="2" fontId="13" fillId="3" borderId="1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indent="2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2" fontId="0" fillId="0" borderId="0" xfId="0" applyNumberFormat="1" applyFont="1" applyFill="1" applyProtection="1"/>
    <xf numFmtId="0" fontId="0" fillId="0" borderId="2" xfId="0" applyFont="1" applyFill="1" applyBorder="1" applyProtection="1"/>
    <xf numFmtId="0" fontId="29" fillId="0" borderId="7" xfId="0" applyFont="1" applyFill="1" applyBorder="1" applyAlignment="1" applyProtection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Continuous"/>
    </xf>
    <xf numFmtId="2" fontId="0" fillId="0" borderId="0" xfId="0" applyNumberFormat="1" applyFont="1" applyFill="1"/>
    <xf numFmtId="0" fontId="0" fillId="0" borderId="10" xfId="0" applyFont="1" applyFill="1" applyBorder="1" applyAlignment="1" applyProtection="1">
      <alignment vertical="top"/>
    </xf>
    <xf numFmtId="0" fontId="0" fillId="0" borderId="10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62" xfId="0" applyFont="1" applyFill="1" applyBorder="1" applyAlignment="1" applyProtection="1"/>
    <xf numFmtId="0" fontId="0" fillId="0" borderId="10" xfId="0" applyFont="1" applyFill="1" applyBorder="1" applyProtection="1">
      <protection locked="0"/>
    </xf>
    <xf numFmtId="0" fontId="0" fillId="0" borderId="11" xfId="0" applyFont="1" applyFill="1" applyBorder="1" applyAlignment="1" applyProtection="1"/>
    <xf numFmtId="0" fontId="0" fillId="0" borderId="21" xfId="0" applyFont="1" applyFill="1" applyBorder="1" applyAlignment="1" applyProtection="1">
      <alignment vertical="top"/>
    </xf>
    <xf numFmtId="0" fontId="0" fillId="0" borderId="25" xfId="0" applyFont="1" applyFill="1" applyBorder="1" applyAlignment="1" applyProtection="1">
      <alignment vertical="center"/>
    </xf>
    <xf numFmtId="0" fontId="0" fillId="0" borderId="48" xfId="0" applyFont="1" applyFill="1" applyBorder="1" applyAlignment="1" applyProtection="1">
      <alignment vertical="top"/>
    </xf>
    <xf numFmtId="0" fontId="0" fillId="0" borderId="17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/>
    </xf>
    <xf numFmtId="2" fontId="0" fillId="0" borderId="9" xfId="0" applyNumberFormat="1" applyFont="1" applyFill="1" applyBorder="1"/>
    <xf numFmtId="0" fontId="0" fillId="0" borderId="3" xfId="0" applyFont="1" applyFill="1" applyBorder="1" applyAlignment="1" applyProtection="1">
      <alignment vertical="center"/>
    </xf>
    <xf numFmtId="0" fontId="9" fillId="0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right"/>
    </xf>
    <xf numFmtId="2" fontId="0" fillId="0" borderId="25" xfId="0" applyNumberFormat="1" applyFont="1" applyFill="1" applyBorder="1" applyProtection="1"/>
    <xf numFmtId="2" fontId="0" fillId="0" borderId="6" xfId="0" applyNumberFormat="1" applyFont="1" applyFill="1" applyBorder="1" applyProtection="1"/>
    <xf numFmtId="2" fontId="0" fillId="0" borderId="2" xfId="0" applyNumberFormat="1" applyFont="1" applyFill="1" applyBorder="1" applyProtection="1"/>
    <xf numFmtId="0" fontId="0" fillId="0" borderId="17" xfId="0" applyFont="1" applyFill="1" applyBorder="1" applyProtection="1">
      <protection locked="0"/>
    </xf>
    <xf numFmtId="2" fontId="0" fillId="0" borderId="17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Protection="1"/>
    <xf numFmtId="0" fontId="0" fillId="0" borderId="0" xfId="0" applyFont="1" applyFill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2" fontId="0" fillId="0" borderId="0" xfId="0" applyNumberFormat="1" applyFont="1" applyFill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7" xfId="0" applyFont="1" applyFill="1" applyBorder="1" applyProtection="1"/>
    <xf numFmtId="2" fontId="29" fillId="0" borderId="7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/>
    <xf numFmtId="0" fontId="0" fillId="0" borderId="32" xfId="0" applyFont="1" applyFill="1" applyBorder="1" applyProtection="1"/>
    <xf numFmtId="0" fontId="0" fillId="0" borderId="30" xfId="0" applyFont="1" applyFill="1" applyBorder="1" applyProtection="1"/>
    <xf numFmtId="0" fontId="0" fillId="0" borderId="6" xfId="0" applyFont="1" applyFill="1" applyBorder="1"/>
    <xf numFmtId="0" fontId="0" fillId="0" borderId="6" xfId="0" applyFont="1" applyFill="1" applyBorder="1" applyAlignment="1" applyProtection="1">
      <alignment horizontal="left" wrapText="1" indent="4"/>
    </xf>
    <xf numFmtId="0" fontId="0" fillId="0" borderId="31" xfId="0" applyFont="1" applyFill="1" applyBorder="1" applyProtection="1"/>
    <xf numFmtId="0" fontId="0" fillId="0" borderId="28" xfId="0" applyFont="1" applyFill="1" applyBorder="1" applyProtection="1"/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0" fillId="0" borderId="30" xfId="0" applyFont="1" applyFill="1" applyBorder="1" applyProtection="1">
      <protection locked="0"/>
    </xf>
    <xf numFmtId="0" fontId="0" fillId="0" borderId="31" xfId="0" applyFont="1" applyFill="1" applyBorder="1" applyProtection="1">
      <protection locked="0"/>
    </xf>
    <xf numFmtId="0" fontId="0" fillId="0" borderId="31" xfId="0" applyFont="1" applyFill="1" applyBorder="1" applyAlignment="1" applyProtection="1">
      <alignment horizontal="center"/>
    </xf>
    <xf numFmtId="0" fontId="0" fillId="0" borderId="28" xfId="0" applyFont="1" applyFill="1" applyBorder="1" applyProtection="1">
      <protection locked="0"/>
    </xf>
    <xf numFmtId="0" fontId="9" fillId="0" borderId="6" xfId="1" applyFont="1" applyFill="1" applyBorder="1" applyAlignment="1">
      <alignment horizontal="center" wrapText="1"/>
    </xf>
    <xf numFmtId="0" fontId="0" fillId="0" borderId="33" xfId="0" applyFont="1" applyFill="1" applyBorder="1" applyProtection="1"/>
    <xf numFmtId="0" fontId="0" fillId="0" borderId="34" xfId="0" applyFont="1" applyFill="1" applyBorder="1" applyProtection="1"/>
    <xf numFmtId="0" fontId="0" fillId="0" borderId="6" xfId="0" applyFont="1" applyFill="1" applyBorder="1" applyAlignment="1" applyProtection="1">
      <alignment wrapText="1"/>
    </xf>
    <xf numFmtId="0" fontId="0" fillId="0" borderId="6" xfId="0" applyFont="1" applyFill="1" applyBorder="1" applyAlignment="1" applyProtection="1">
      <alignment horizontal="center" vertical="center" wrapText="1"/>
    </xf>
    <xf numFmtId="2" fontId="0" fillId="0" borderId="32" xfId="0" applyNumberFormat="1" applyFont="1" applyFill="1" applyBorder="1"/>
    <xf numFmtId="0" fontId="0" fillId="0" borderId="26" xfId="0" applyFont="1" applyFill="1" applyBorder="1" applyProtection="1"/>
    <xf numFmtId="0" fontId="0" fillId="0" borderId="35" xfId="0" applyFont="1" applyFill="1" applyBorder="1" applyProtection="1"/>
    <xf numFmtId="0" fontId="0" fillId="0" borderId="19" xfId="0" applyFont="1" applyFill="1" applyBorder="1"/>
    <xf numFmtId="2" fontId="0" fillId="0" borderId="19" xfId="0" applyNumberFormat="1" applyFont="1" applyFill="1" applyBorder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ont="1" applyFill="1" applyAlignment="1">
      <alignment wrapText="1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/>
      <protection locked="0"/>
    </xf>
    <xf numFmtId="2" fontId="0" fillId="0" borderId="73" xfId="0" applyNumberFormat="1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left"/>
    </xf>
    <xf numFmtId="0" fontId="22" fillId="0" borderId="0" xfId="0" applyFont="1" applyFill="1"/>
    <xf numFmtId="0" fontId="22" fillId="0" borderId="0" xfId="0" applyFont="1" applyFill="1" applyProtection="1"/>
    <xf numFmtId="0" fontId="21" fillId="0" borderId="0" xfId="0" applyFont="1" applyFill="1" applyProtection="1"/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left" wrapText="1" indent="4"/>
    </xf>
    <xf numFmtId="0" fontId="12" fillId="0" borderId="0" xfId="0" applyFont="1" applyAlignment="1">
      <alignment horizontal="left" vertical="center" wrapText="1"/>
    </xf>
    <xf numFmtId="0" fontId="33" fillId="3" borderId="40" xfId="0" applyFont="1" applyFill="1" applyBorder="1" applyAlignment="1">
      <alignment horizontal="left" vertical="top" wrapText="1" indent="4"/>
    </xf>
    <xf numFmtId="0" fontId="34" fillId="3" borderId="38" xfId="0" applyFont="1" applyFill="1" applyBorder="1" applyAlignment="1">
      <alignment vertical="top" wrapText="1"/>
    </xf>
    <xf numFmtId="0" fontId="34" fillId="3" borderId="40" xfId="0" applyFont="1" applyFill="1" applyBorder="1" applyAlignment="1">
      <alignment vertical="top" wrapText="1"/>
    </xf>
    <xf numFmtId="0" fontId="34" fillId="3" borderId="40" xfId="0" applyFont="1" applyFill="1" applyBorder="1" applyAlignment="1">
      <alignment horizontal="left" vertical="top" wrapText="1" indent="2"/>
    </xf>
    <xf numFmtId="0" fontId="33" fillId="3" borderId="40" xfId="0" applyFont="1" applyFill="1" applyBorder="1" applyAlignment="1">
      <alignment horizontal="left" vertical="top" wrapText="1" indent="2"/>
    </xf>
    <xf numFmtId="0" fontId="33" fillId="3" borderId="50" xfId="0" applyFont="1" applyFill="1" applyBorder="1" applyAlignment="1">
      <alignment horizontal="left" vertical="top" wrapText="1" indent="4"/>
    </xf>
    <xf numFmtId="0" fontId="34" fillId="3" borderId="3" xfId="0" applyFont="1" applyFill="1" applyBorder="1" applyAlignment="1">
      <alignment vertical="top" wrapText="1"/>
    </xf>
    <xf numFmtId="0" fontId="33" fillId="3" borderId="21" xfId="0" applyFont="1" applyFill="1" applyBorder="1" applyAlignment="1">
      <alignment horizontal="left" vertical="top" wrapText="1" indent="4"/>
    </xf>
    <xf numFmtId="0" fontId="33" fillId="3" borderId="53" xfId="0" applyFont="1" applyFill="1" applyBorder="1" applyAlignment="1">
      <alignment horizontal="left" vertical="top" wrapText="1" indent="4"/>
    </xf>
    <xf numFmtId="0" fontId="33" fillId="3" borderId="23" xfId="0" applyFont="1" applyFill="1" applyBorder="1" applyAlignment="1">
      <alignment horizontal="left" vertical="top" wrapText="1" indent="4"/>
    </xf>
    <xf numFmtId="0" fontId="33" fillId="0" borderId="6" xfId="0" applyFont="1" applyFill="1" applyBorder="1" applyAlignment="1" applyProtection="1">
      <alignment horizontal="left" indent="2"/>
    </xf>
    <xf numFmtId="0" fontId="33" fillId="0" borderId="6" xfId="0" applyFont="1" applyFill="1" applyBorder="1" applyAlignment="1" applyProtection="1">
      <alignment horizontal="left" indent="3"/>
    </xf>
    <xf numFmtId="0" fontId="33" fillId="0" borderId="7" xfId="0" applyFont="1" applyFill="1" applyBorder="1" applyAlignment="1" applyProtection="1">
      <alignment horizontal="left" indent="3"/>
    </xf>
    <xf numFmtId="0" fontId="33" fillId="3" borderId="38" xfId="0" applyFont="1" applyFill="1" applyBorder="1" applyAlignment="1">
      <alignment horizontal="left" vertical="top" wrapText="1" indent="2"/>
    </xf>
    <xf numFmtId="0" fontId="33" fillId="0" borderId="0" xfId="0" applyFont="1" applyAlignment="1">
      <alignment horizontal="left" indent="2"/>
    </xf>
    <xf numFmtId="0" fontId="17" fillId="0" borderId="6" xfId="0" applyFont="1" applyFill="1" applyBorder="1" applyProtection="1"/>
    <xf numFmtId="0" fontId="17" fillId="0" borderId="6" xfId="0" applyFont="1" applyFill="1" applyBorder="1" applyProtection="1">
      <protection locked="0"/>
    </xf>
    <xf numFmtId="0" fontId="17" fillId="0" borderId="6" xfId="1" applyFont="1" applyFill="1" applyBorder="1" applyAlignment="1" applyProtection="1">
      <alignment wrapText="1"/>
    </xf>
    <xf numFmtId="0" fontId="17" fillId="0" borderId="6" xfId="0" applyFont="1" applyFill="1" applyBorder="1" applyAlignment="1" applyProtection="1">
      <alignment horizontal="left" indent="4"/>
    </xf>
    <xf numFmtId="0" fontId="17" fillId="0" borderId="6" xfId="0" applyFont="1" applyFill="1" applyBorder="1" applyAlignment="1" applyProtection="1">
      <alignment horizontal="left" wrapText="1" indent="4"/>
    </xf>
    <xf numFmtId="0" fontId="37" fillId="0" borderId="15" xfId="0" applyFont="1" applyFill="1" applyBorder="1" applyAlignment="1" applyProtection="1">
      <alignment wrapText="1"/>
    </xf>
    <xf numFmtId="0" fontId="37" fillId="0" borderId="15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Protection="1"/>
    <xf numFmtId="0" fontId="17" fillId="0" borderId="7" xfId="0" applyFont="1" applyFill="1" applyBorder="1" applyAlignment="1" applyProtection="1">
      <alignment horizontal="left" indent="4"/>
    </xf>
    <xf numFmtId="0" fontId="16" fillId="0" borderId="6" xfId="0" applyFont="1" applyFill="1" applyBorder="1" applyAlignment="1" applyProtection="1">
      <alignment horizontal="left" indent="4"/>
    </xf>
    <xf numFmtId="0" fontId="16" fillId="3" borderId="6" xfId="0" applyFont="1" applyFill="1" applyBorder="1" applyAlignment="1" applyProtection="1">
      <alignment vertical="top" wrapText="1"/>
    </xf>
    <xf numFmtId="0" fontId="16" fillId="0" borderId="6" xfId="0" applyFont="1" applyBorder="1" applyProtection="1"/>
    <xf numFmtId="0" fontId="16" fillId="0" borderId="6" xfId="0" applyFont="1" applyFill="1" applyBorder="1" applyAlignment="1" applyProtection="1">
      <alignment wrapText="1"/>
    </xf>
    <xf numFmtId="0" fontId="17" fillId="0" borderId="6" xfId="0" applyFont="1" applyFill="1" applyBorder="1" applyAlignment="1" applyProtection="1">
      <alignment horizontal="left" indent="2"/>
    </xf>
    <xf numFmtId="0" fontId="0" fillId="0" borderId="10" xfId="0" applyFont="1" applyFill="1" applyBorder="1" applyAlignment="1" applyProtection="1">
      <alignment vertical="top"/>
      <protection locked="0"/>
    </xf>
    <xf numFmtId="0" fontId="15" fillId="0" borderId="30" xfId="0" applyFont="1" applyFill="1" applyBorder="1" applyProtection="1"/>
    <xf numFmtId="0" fontId="15" fillId="0" borderId="7" xfId="0" applyFont="1" applyFill="1" applyBorder="1" applyProtection="1"/>
    <xf numFmtId="0" fontId="15" fillId="0" borderId="0" xfId="0" applyFont="1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wrapText="1"/>
    </xf>
    <xf numFmtId="0" fontId="10" fillId="0" borderId="60" xfId="0" applyFont="1" applyFill="1" applyBorder="1" applyAlignment="1" applyProtection="1">
      <alignment wrapText="1"/>
    </xf>
    <xf numFmtId="0" fontId="18" fillId="0" borderId="65" xfId="0" applyFont="1" applyFill="1" applyBorder="1" applyAlignment="1" applyProtection="1">
      <alignment horizontal="center" wrapText="1"/>
    </xf>
    <xf numFmtId="0" fontId="18" fillId="0" borderId="35" xfId="0" applyFont="1" applyFill="1" applyBorder="1" applyAlignment="1" applyProtection="1">
      <alignment horizontal="center" wrapText="1"/>
    </xf>
    <xf numFmtId="0" fontId="0" fillId="0" borderId="25" xfId="0" applyFont="1" applyFill="1" applyBorder="1" applyAlignment="1" applyProtection="1">
      <alignment horizontal="center" vertical="center" textRotation="90"/>
    </xf>
    <xf numFmtId="0" fontId="0" fillId="0" borderId="6" xfId="0" applyFont="1" applyFill="1" applyBorder="1" applyAlignment="1" applyProtection="1">
      <alignment horizontal="center" vertical="center" textRotation="90"/>
    </xf>
    <xf numFmtId="0" fontId="0" fillId="0" borderId="17" xfId="0" applyFont="1" applyFill="1" applyBorder="1" applyAlignment="1" applyProtection="1">
      <alignment horizontal="center" vertical="center" textRotation="90"/>
    </xf>
    <xf numFmtId="0" fontId="10" fillId="0" borderId="63" xfId="0" applyFont="1" applyFill="1" applyBorder="1" applyAlignment="1" applyProtection="1">
      <alignment horizontal="center" vertical="center" textRotation="90" wrapText="1"/>
    </xf>
    <xf numFmtId="0" fontId="10" fillId="0" borderId="61" xfId="0" applyFont="1" applyFill="1" applyBorder="1" applyAlignment="1" applyProtection="1">
      <alignment horizontal="center" vertical="center" textRotation="90" wrapText="1"/>
    </xf>
    <xf numFmtId="0" fontId="10" fillId="0" borderId="64" xfId="0" applyFont="1" applyFill="1" applyBorder="1" applyAlignment="1" applyProtection="1">
      <alignment horizontal="center" vertical="center" textRotation="90" wrapText="1"/>
    </xf>
    <xf numFmtId="0" fontId="10" fillId="0" borderId="28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top"/>
    </xf>
    <xf numFmtId="0" fontId="0" fillId="0" borderId="6" xfId="0" applyFont="1" applyFill="1" applyBorder="1" applyAlignment="1" applyProtection="1">
      <alignment horizontal="center" vertical="top"/>
    </xf>
    <xf numFmtId="0" fontId="0" fillId="0" borderId="7" xfId="0" applyFont="1" applyFill="1" applyBorder="1" applyAlignment="1" applyProtection="1">
      <alignment horizontal="center" vertical="top"/>
    </xf>
    <xf numFmtId="0" fontId="0" fillId="0" borderId="62" xfId="0" applyFont="1" applyFill="1" applyBorder="1" applyAlignment="1" applyProtection="1">
      <alignment horizontal="center" vertical="center" textRotation="90" wrapText="1"/>
    </xf>
    <xf numFmtId="0" fontId="0" fillId="0" borderId="11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center" textRotation="90" wrapText="1"/>
    </xf>
    <xf numFmtId="0" fontId="10" fillId="0" borderId="12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top" textRotation="90" wrapText="1"/>
    </xf>
    <xf numFmtId="0" fontId="0" fillId="0" borderId="11" xfId="0" applyFont="1" applyFill="1" applyBorder="1" applyAlignment="1" applyProtection="1">
      <alignment horizontal="center" vertical="top" textRotation="90" wrapText="1"/>
    </xf>
    <xf numFmtId="0" fontId="0" fillId="0" borderId="18" xfId="0" applyFont="1" applyFill="1" applyBorder="1" applyAlignment="1" applyProtection="1">
      <alignment horizontal="center" vertical="top" textRotation="90" wrapText="1"/>
    </xf>
    <xf numFmtId="0" fontId="21" fillId="0" borderId="3" xfId="0" applyFont="1" applyFill="1" applyBorder="1" applyAlignment="1" applyProtection="1">
      <alignment horizontal="left" wrapText="1"/>
    </xf>
    <xf numFmtId="0" fontId="21" fillId="0" borderId="8" xfId="0" applyFont="1" applyFill="1" applyBorder="1" applyAlignment="1" applyProtection="1">
      <alignment horizontal="left" wrapText="1"/>
    </xf>
    <xf numFmtId="0" fontId="29" fillId="0" borderId="6" xfId="0" applyFont="1" applyFill="1" applyBorder="1" applyAlignment="1" applyProtection="1">
      <alignment horizontal="center" vertical="center" textRotation="90" wrapText="1"/>
    </xf>
    <xf numFmtId="0" fontId="16" fillId="0" borderId="7" xfId="1" applyFont="1" applyFill="1" applyBorder="1" applyAlignment="1" applyProtection="1">
      <alignment horizontal="center" vertical="center" textRotation="90" wrapText="1"/>
    </xf>
    <xf numFmtId="0" fontId="16" fillId="0" borderId="11" xfId="1" applyFont="1" applyFill="1" applyBorder="1" applyAlignment="1" applyProtection="1">
      <alignment horizontal="center" vertical="center" textRotation="90" wrapText="1"/>
    </xf>
    <xf numFmtId="0" fontId="16" fillId="0" borderId="10" xfId="1" applyFont="1" applyFill="1" applyBorder="1" applyAlignment="1" applyProtection="1">
      <alignment horizontal="center" vertical="center" textRotation="90" wrapText="1"/>
    </xf>
    <xf numFmtId="0" fontId="10" fillId="0" borderId="62" xfId="0" applyFont="1" applyFill="1" applyBorder="1" applyAlignment="1" applyProtection="1">
      <alignment horizontal="center" vertical="center" textRotation="90" wrapText="1"/>
    </xf>
    <xf numFmtId="0" fontId="10" fillId="0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 applyProtection="1">
      <alignment horizontal="center" vertical="center" textRotation="90" wrapText="1"/>
    </xf>
    <xf numFmtId="0" fontId="10" fillId="0" borderId="7" xfId="0" applyFont="1" applyFill="1" applyBorder="1" applyAlignment="1" applyProtection="1">
      <alignment horizontal="center" vertical="center" textRotation="90" wrapText="1"/>
    </xf>
    <xf numFmtId="0" fontId="10" fillId="0" borderId="18" xfId="0" applyFont="1" applyFill="1" applyBorder="1" applyAlignment="1" applyProtection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top" wrapText="1"/>
    </xf>
    <xf numFmtId="0" fontId="0" fillId="0" borderId="6" xfId="0" applyFont="1" applyFill="1" applyBorder="1" applyAlignment="1" applyProtection="1">
      <alignment horizontal="center" vertical="top" wrapText="1"/>
    </xf>
    <xf numFmtId="0" fontId="0" fillId="0" borderId="7" xfId="0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29" fillId="0" borderId="65" xfId="0" applyFont="1" applyFill="1" applyBorder="1" applyAlignment="1" applyProtection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</xf>
    <xf numFmtId="0" fontId="19" fillId="0" borderId="37" xfId="0" applyFont="1" applyFill="1" applyBorder="1" applyAlignment="1" applyProtection="1">
      <alignment horizontal="center" wrapText="1"/>
    </xf>
    <xf numFmtId="0" fontId="19" fillId="0" borderId="67" xfId="0" applyFont="1" applyFill="1" applyBorder="1" applyAlignment="1" applyProtection="1">
      <alignment horizontal="center" wrapText="1"/>
    </xf>
    <xf numFmtId="0" fontId="19" fillId="0" borderId="68" xfId="0" applyFont="1" applyFill="1" applyBorder="1" applyAlignment="1" applyProtection="1">
      <alignment horizontal="center" wrapText="1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</xf>
    <xf numFmtId="0" fontId="29" fillId="0" borderId="25" xfId="0" applyFont="1" applyFill="1" applyBorder="1" applyAlignment="1" applyProtection="1">
      <alignment horizontal="center" vertical="center" textRotation="90" wrapText="1"/>
    </xf>
    <xf numFmtId="0" fontId="29" fillId="0" borderId="17" xfId="0" applyFont="1" applyFill="1" applyBorder="1" applyAlignment="1" applyProtection="1">
      <alignment horizontal="center" vertical="center" textRotation="90" wrapText="1"/>
    </xf>
    <xf numFmtId="0" fontId="0" fillId="0" borderId="62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24" fillId="0" borderId="14" xfId="0" applyFont="1" applyFill="1" applyBorder="1" applyAlignment="1" applyProtection="1">
      <alignment wrapText="1"/>
    </xf>
    <xf numFmtId="0" fontId="24" fillId="0" borderId="30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horizontal="center"/>
    </xf>
    <xf numFmtId="2" fontId="12" fillId="3" borderId="78" xfId="0" applyNumberFormat="1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left" vertical="top" wrapText="1" indent="4"/>
    </xf>
    <xf numFmtId="0" fontId="33" fillId="3" borderId="17" xfId="0" applyFont="1" applyFill="1" applyBorder="1" applyAlignment="1">
      <alignment horizontal="left" vertical="top" wrapText="1" indent="4"/>
    </xf>
  </cellXfs>
  <cellStyles count="2">
    <cellStyle name="Good" xfId="1" builtinId="26"/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212</xdr:row>
          <xdr:rowOff>0</xdr:rowOff>
        </xdr:from>
        <xdr:to>
          <xdr:col>3</xdr:col>
          <xdr:colOff>0</xdr:colOff>
          <xdr:row>212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2295525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2409825</xdr:colOff>
          <xdr:row>212</xdr:row>
          <xdr:rowOff>0</xdr:rowOff>
        </xdr:from>
        <xdr:to>
          <xdr:col>2</xdr:col>
          <xdr:colOff>3790950</xdr:colOff>
          <xdr:row>212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2238375</xdr:colOff>
          <xdr:row>212</xdr:row>
          <xdr:rowOff>0</xdr:rowOff>
        </xdr:from>
        <xdr:to>
          <xdr:col>2</xdr:col>
          <xdr:colOff>3752850</xdr:colOff>
          <xdr:row>212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2333625</xdr:colOff>
          <xdr:row>212</xdr:row>
          <xdr:rowOff>0</xdr:rowOff>
        </xdr:from>
        <xdr:to>
          <xdr:col>2</xdr:col>
          <xdr:colOff>3724275</xdr:colOff>
          <xdr:row>212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2257425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2343150</xdr:colOff>
          <xdr:row>212</xdr:row>
          <xdr:rowOff>0</xdr:rowOff>
        </xdr:from>
        <xdr:to>
          <xdr:col>2</xdr:col>
          <xdr:colOff>3838575</xdr:colOff>
          <xdr:row>212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2171700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2247900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1885950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1905000</xdr:colOff>
          <xdr:row>212</xdr:row>
          <xdr:rowOff>0</xdr:rowOff>
        </xdr:from>
        <xdr:to>
          <xdr:col>2</xdr:col>
          <xdr:colOff>3867150</xdr:colOff>
          <xdr:row>212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2295525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0</xdr:rowOff>
        </xdr:from>
        <xdr:to>
          <xdr:col>1</xdr:col>
          <xdr:colOff>3790950</xdr:colOff>
          <xdr:row>8</xdr:row>
          <xdr:rowOff>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2238375</xdr:colOff>
          <xdr:row>8</xdr:row>
          <xdr:rowOff>0</xdr:rowOff>
        </xdr:from>
        <xdr:to>
          <xdr:col>1</xdr:col>
          <xdr:colOff>3752850</xdr:colOff>
          <xdr:row>8</xdr:row>
          <xdr:rowOff>0</xdr:rowOff>
        </xdr:to>
        <xdr:sp macro="" textlink="">
          <xdr:nvSpPr>
            <xdr:cNvPr id="4109" name="Object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2333625</xdr:colOff>
          <xdr:row>8</xdr:row>
          <xdr:rowOff>0</xdr:rowOff>
        </xdr:from>
        <xdr:to>
          <xdr:col>1</xdr:col>
          <xdr:colOff>3724275</xdr:colOff>
          <xdr:row>8</xdr:row>
          <xdr:rowOff>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2257425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2343150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2" name="Object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2171700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2247900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1885950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1905000</xdr:colOff>
          <xdr:row>8</xdr:row>
          <xdr:rowOff>0</xdr:rowOff>
        </xdr:from>
        <xdr:to>
          <xdr:col>1</xdr:col>
          <xdr:colOff>3819525</xdr:colOff>
          <xdr:row>8</xdr:row>
          <xdr:rowOff>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w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16.bin"/><Relationship Id="rId42" Type="http://schemas.openxmlformats.org/officeDocument/2006/relationships/oleObject" Target="../embeddings/oleObject20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38" Type="http://schemas.openxmlformats.org/officeDocument/2006/relationships/oleObject" Target="../embeddings/oleObject1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wmf"/><Relationship Id="rId41" Type="http://schemas.openxmlformats.org/officeDocument/2006/relationships/image" Target="../media/image19.wmf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wmf"/><Relationship Id="rId40" Type="http://schemas.openxmlformats.org/officeDocument/2006/relationships/oleObject" Target="../embeddings/oleObject19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wmf"/><Relationship Id="rId43" Type="http://schemas.openxmlformats.org/officeDocument/2006/relationships/image" Target="../media/image20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28.bin"/><Relationship Id="rId26" Type="http://schemas.openxmlformats.org/officeDocument/2006/relationships/oleObject" Target="../embeddings/oleObject32.bin"/><Relationship Id="rId39" Type="http://schemas.openxmlformats.org/officeDocument/2006/relationships/image" Target="../media/image18.wmf"/><Relationship Id="rId3" Type="http://schemas.openxmlformats.org/officeDocument/2006/relationships/vmlDrawing" Target="../drawings/vmlDrawing2.vml"/><Relationship Id="rId21" Type="http://schemas.openxmlformats.org/officeDocument/2006/relationships/image" Target="../media/image9.wmf"/><Relationship Id="rId34" Type="http://schemas.openxmlformats.org/officeDocument/2006/relationships/oleObject" Target="../embeddings/oleObject36.bin"/><Relationship Id="rId42" Type="http://schemas.openxmlformats.org/officeDocument/2006/relationships/oleObject" Target="../embeddings/oleObject40.bin"/><Relationship Id="rId7" Type="http://schemas.openxmlformats.org/officeDocument/2006/relationships/image" Target="../media/image2.wmf"/><Relationship Id="rId12" Type="http://schemas.openxmlformats.org/officeDocument/2006/relationships/oleObject" Target="../embeddings/oleObject2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33" Type="http://schemas.openxmlformats.org/officeDocument/2006/relationships/image" Target="../media/image15.wmf"/><Relationship Id="rId38" Type="http://schemas.openxmlformats.org/officeDocument/2006/relationships/oleObject" Target="../embeddings/oleObject3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29.bin"/><Relationship Id="rId29" Type="http://schemas.openxmlformats.org/officeDocument/2006/relationships/image" Target="../media/image13.wmf"/><Relationship Id="rId41" Type="http://schemas.openxmlformats.org/officeDocument/2006/relationships/image" Target="../media/image19.wmf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31.bin"/><Relationship Id="rId32" Type="http://schemas.openxmlformats.org/officeDocument/2006/relationships/oleObject" Target="../embeddings/oleObject35.bin"/><Relationship Id="rId37" Type="http://schemas.openxmlformats.org/officeDocument/2006/relationships/image" Target="../media/image17.wmf"/><Relationship Id="rId40" Type="http://schemas.openxmlformats.org/officeDocument/2006/relationships/oleObject" Target="../embeddings/oleObject39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28" Type="http://schemas.openxmlformats.org/officeDocument/2006/relationships/oleObject" Target="../embeddings/oleObject33.bin"/><Relationship Id="rId36" Type="http://schemas.openxmlformats.org/officeDocument/2006/relationships/oleObject" Target="../embeddings/oleObject37.bin"/><Relationship Id="rId10" Type="http://schemas.openxmlformats.org/officeDocument/2006/relationships/oleObject" Target="../embeddings/oleObject24.bin"/><Relationship Id="rId19" Type="http://schemas.openxmlformats.org/officeDocument/2006/relationships/image" Target="../media/image8.wmf"/><Relationship Id="rId31" Type="http://schemas.openxmlformats.org/officeDocument/2006/relationships/image" Target="../media/image14.wmf"/><Relationship Id="rId4" Type="http://schemas.openxmlformats.org/officeDocument/2006/relationships/oleObject" Target="../embeddings/oleObject2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0.bin"/><Relationship Id="rId27" Type="http://schemas.openxmlformats.org/officeDocument/2006/relationships/image" Target="../media/image12.wmf"/><Relationship Id="rId30" Type="http://schemas.openxmlformats.org/officeDocument/2006/relationships/oleObject" Target="../embeddings/oleObject34.bin"/><Relationship Id="rId35" Type="http://schemas.openxmlformats.org/officeDocument/2006/relationships/image" Target="../media/image16.wmf"/><Relationship Id="rId43" Type="http://schemas.openxmlformats.org/officeDocument/2006/relationships/image" Target="../media/image20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workbookViewId="0">
      <selection activeCell="F39" sqref="F39"/>
    </sheetView>
  </sheetViews>
  <sheetFormatPr defaultRowHeight="15.75" x14ac:dyDescent="0.25"/>
  <cols>
    <col min="1" max="1" width="81.28515625" style="2" customWidth="1"/>
    <col min="2" max="2" width="8.28515625" style="4" customWidth="1"/>
    <col min="3" max="3" width="13.42578125" style="5" customWidth="1"/>
    <col min="6" max="6" width="23.5703125" customWidth="1"/>
    <col min="7" max="7" width="23.85546875" customWidth="1"/>
  </cols>
  <sheetData>
    <row r="1" spans="1:8" ht="16.5" thickBot="1" x14ac:dyDescent="0.3">
      <c r="A1" s="42" t="s">
        <v>164</v>
      </c>
      <c r="B1" s="7"/>
      <c r="C1" s="3"/>
      <c r="F1" s="321" t="s">
        <v>139</v>
      </c>
      <c r="G1" s="322"/>
      <c r="H1" s="14"/>
    </row>
    <row r="2" spans="1:8" x14ac:dyDescent="0.25">
      <c r="A2" s="42" t="s">
        <v>165</v>
      </c>
      <c r="B2" s="7"/>
      <c r="C2" s="3"/>
      <c r="F2" s="15" t="s">
        <v>141</v>
      </c>
      <c r="G2" s="18"/>
      <c r="H2" t="s">
        <v>379</v>
      </c>
    </row>
    <row r="3" spans="1:8" x14ac:dyDescent="0.25">
      <c r="A3" s="6"/>
      <c r="B3" s="7"/>
      <c r="C3" s="162"/>
      <c r="F3" s="15" t="s">
        <v>142</v>
      </c>
      <c r="G3" s="18"/>
    </row>
    <row r="4" spans="1:8" x14ac:dyDescent="0.25">
      <c r="A4" s="275" t="s">
        <v>378</v>
      </c>
      <c r="B4" s="323">
        <f>G2</f>
        <v>0</v>
      </c>
      <c r="C4" s="323"/>
      <c r="F4" s="16" t="s">
        <v>143</v>
      </c>
      <c r="G4" s="18"/>
    </row>
    <row r="5" spans="1:8" x14ac:dyDescent="0.25">
      <c r="A5" s="275" t="s">
        <v>377</v>
      </c>
      <c r="B5" s="323">
        <f>G3</f>
        <v>0</v>
      </c>
      <c r="C5" s="323"/>
      <c r="F5" s="16" t="s">
        <v>140</v>
      </c>
      <c r="G5" s="18"/>
    </row>
    <row r="6" spans="1:8" ht="16.5" thickBot="1" x14ac:dyDescent="0.3">
      <c r="A6" s="19"/>
      <c r="B6" s="20"/>
      <c r="C6" s="21"/>
      <c r="F6" s="17" t="s">
        <v>144</v>
      </c>
      <c r="G6" s="164"/>
      <c r="H6" s="163" t="s">
        <v>287</v>
      </c>
    </row>
    <row r="7" spans="1:8" ht="18.75" x14ac:dyDescent="0.3">
      <c r="A7" s="23">
        <f>G4</f>
        <v>0</v>
      </c>
      <c r="B7" s="160"/>
      <c r="C7" s="161"/>
    </row>
    <row r="8" spans="1:8" ht="18.75" x14ac:dyDescent="0.3">
      <c r="A8" s="23">
        <f>G5</f>
        <v>0</v>
      </c>
      <c r="B8" s="20"/>
      <c r="C8" s="21"/>
    </row>
    <row r="9" spans="1:8" x14ac:dyDescent="0.25">
      <c r="A9" s="19" t="s">
        <v>1</v>
      </c>
      <c r="B9" s="20">
        <f>IF(G6&lt;=5,5,G6)</f>
        <v>5</v>
      </c>
      <c r="C9" s="22" t="s">
        <v>2</v>
      </c>
    </row>
    <row r="10" spans="1:8" x14ac:dyDescent="0.25">
      <c r="A10" s="19"/>
      <c r="B10" s="20"/>
      <c r="C10" s="22"/>
    </row>
    <row r="11" spans="1:8" x14ac:dyDescent="0.25">
      <c r="A11" s="282" t="s">
        <v>380</v>
      </c>
      <c r="B11" s="20"/>
      <c r="C11" s="22"/>
    </row>
    <row r="12" spans="1:8" ht="31.5" x14ac:dyDescent="0.25">
      <c r="A12" s="281" t="s">
        <v>381</v>
      </c>
      <c r="B12" s="20"/>
      <c r="C12" s="22"/>
    </row>
    <row r="13" spans="1:8" ht="16.5" thickBot="1" x14ac:dyDescent="0.3">
      <c r="A13" s="280"/>
    </row>
    <row r="14" spans="1:8" ht="16.5" thickBot="1" x14ac:dyDescent="0.3">
      <c r="A14" s="41" t="s">
        <v>96</v>
      </c>
      <c r="B14" s="9" t="s">
        <v>9</v>
      </c>
      <c r="C14" s="10" t="s">
        <v>12</v>
      </c>
    </row>
    <row r="15" spans="1:8" ht="19.5" thickBot="1" x14ac:dyDescent="0.3">
      <c r="A15" s="40" t="s">
        <v>97</v>
      </c>
      <c r="B15" s="9"/>
      <c r="C15" s="10">
        <f>'A. Activitate didactica'!H7</f>
        <v>0</v>
      </c>
    </row>
    <row r="16" spans="1:8" ht="16.5" thickBot="1" x14ac:dyDescent="0.3">
      <c r="A16" s="11" t="s">
        <v>98</v>
      </c>
      <c r="B16" s="10">
        <f>'A. Activitate didactica'!G8</f>
        <v>0</v>
      </c>
      <c r="C16" s="10">
        <f>'A. Activitate didactica'!H8</f>
        <v>0</v>
      </c>
    </row>
    <row r="17" spans="1:3" x14ac:dyDescent="0.25">
      <c r="A17" s="111" t="s">
        <v>162</v>
      </c>
      <c r="B17" s="112">
        <f>'A. Activitate didactica'!G9</f>
        <v>0</v>
      </c>
      <c r="C17" s="112">
        <f>'A. Activitate didactica'!H9</f>
        <v>0</v>
      </c>
    </row>
    <row r="18" spans="1:3" x14ac:dyDescent="0.25">
      <c r="A18" s="113" t="s">
        <v>99</v>
      </c>
      <c r="B18" s="114">
        <f>'A. Activitate didactica'!G10</f>
        <v>0</v>
      </c>
      <c r="C18" s="114">
        <f>'A. Activitate didactica'!H10</f>
        <v>0</v>
      </c>
    </row>
    <row r="19" spans="1:3" x14ac:dyDescent="0.25">
      <c r="A19" s="115" t="s">
        <v>149</v>
      </c>
      <c r="B19" s="116">
        <f>'A. Activitate didactica'!G11</f>
        <v>0</v>
      </c>
      <c r="C19" s="116">
        <f>'A. Activitate didactica'!H11</f>
        <v>0</v>
      </c>
    </row>
    <row r="20" spans="1:3" x14ac:dyDescent="0.25">
      <c r="A20" s="115" t="s">
        <v>148</v>
      </c>
      <c r="B20" s="116">
        <f>'A. Activitate didactica'!G17</f>
        <v>0</v>
      </c>
      <c r="C20" s="116">
        <f>'A. Activitate didactica'!H17</f>
        <v>0</v>
      </c>
    </row>
    <row r="21" spans="1:3" x14ac:dyDescent="0.25">
      <c r="A21" s="115" t="s">
        <v>473</v>
      </c>
      <c r="B21" s="116">
        <f>'A. Activitate didactica'!G28</f>
        <v>0</v>
      </c>
      <c r="C21" s="116">
        <f>'A. Activitate didactica'!H28</f>
        <v>0</v>
      </c>
    </row>
    <row r="22" spans="1:3" x14ac:dyDescent="0.25">
      <c r="A22" s="113" t="s">
        <v>107</v>
      </c>
      <c r="B22" s="114">
        <f>'A. Activitate didactica'!G38</f>
        <v>0</v>
      </c>
      <c r="C22" s="114">
        <f>'A. Activitate didactica'!H38</f>
        <v>0</v>
      </c>
    </row>
    <row r="23" spans="1:3" x14ac:dyDescent="0.25">
      <c r="A23" s="115" t="s">
        <v>150</v>
      </c>
      <c r="B23" s="116">
        <f>'A. Activitate didactica'!G39</f>
        <v>0</v>
      </c>
      <c r="C23" s="116">
        <f>'A. Activitate didactica'!H39</f>
        <v>0</v>
      </c>
    </row>
    <row r="24" spans="1:3" x14ac:dyDescent="0.25">
      <c r="A24" s="115" t="s">
        <v>151</v>
      </c>
      <c r="B24" s="116">
        <f>'A. Activitate didactica'!G45</f>
        <v>0</v>
      </c>
      <c r="C24" s="116">
        <f>'A. Activitate didactica'!H45</f>
        <v>0</v>
      </c>
    </row>
    <row r="25" spans="1:3" x14ac:dyDescent="0.25">
      <c r="A25" s="115" t="s">
        <v>474</v>
      </c>
      <c r="B25" s="116">
        <f>'A. Activitate didactica'!G51</f>
        <v>0</v>
      </c>
      <c r="C25" s="116">
        <f>'A. Activitate didactica'!H51</f>
        <v>0</v>
      </c>
    </row>
    <row r="26" spans="1:3" x14ac:dyDescent="0.25">
      <c r="A26" s="117" t="s">
        <v>163</v>
      </c>
      <c r="B26" s="114">
        <f>'A. Activitate didactica'!G57</f>
        <v>0</v>
      </c>
      <c r="C26" s="114">
        <f>'A. Activitate didactica'!H57</f>
        <v>0</v>
      </c>
    </row>
    <row r="27" spans="1:3" x14ac:dyDescent="0.25">
      <c r="A27" s="285" t="s">
        <v>398</v>
      </c>
      <c r="B27" s="116">
        <f>'A. Activitate didactica'!G58</f>
        <v>0</v>
      </c>
      <c r="C27" s="116">
        <f>'A. Activitate didactica'!H58</f>
        <v>0</v>
      </c>
    </row>
    <row r="28" spans="1:3" x14ac:dyDescent="0.25">
      <c r="A28" s="285" t="s">
        <v>399</v>
      </c>
      <c r="B28" s="116">
        <f>'A. Activitate didactica'!G64</f>
        <v>0</v>
      </c>
      <c r="C28" s="116">
        <f>'A. Activitate didactica'!H64</f>
        <v>0</v>
      </c>
    </row>
    <row r="29" spans="1:3" x14ac:dyDescent="0.25">
      <c r="A29" s="115" t="s">
        <v>475</v>
      </c>
      <c r="B29" s="116">
        <f>'A. Activitate didactica'!G70</f>
        <v>0</v>
      </c>
      <c r="C29" s="116">
        <f>'A. Activitate didactica'!H70</f>
        <v>0</v>
      </c>
    </row>
    <row r="30" spans="1:3" x14ac:dyDescent="0.25">
      <c r="A30" s="117" t="s">
        <v>188</v>
      </c>
      <c r="B30" s="114">
        <f>'A. Activitate didactica'!G76</f>
        <v>0</v>
      </c>
      <c r="C30" s="114">
        <f>'A. Activitate didactica'!H76</f>
        <v>0</v>
      </c>
    </row>
    <row r="31" spans="1:3" x14ac:dyDescent="0.25">
      <c r="A31" s="113" t="s">
        <v>119</v>
      </c>
      <c r="B31" s="116">
        <f>'A. Activitate didactica'!G77</f>
        <v>0</v>
      </c>
      <c r="C31" s="116">
        <f>'A. Activitate didactica'!H77</f>
        <v>0</v>
      </c>
    </row>
    <row r="32" spans="1:3" x14ac:dyDescent="0.25">
      <c r="A32" s="115" t="s">
        <v>152</v>
      </c>
      <c r="B32" s="116">
        <f>'A. Activitate didactica'!G78</f>
        <v>0</v>
      </c>
      <c r="C32" s="116">
        <f>'A. Activitate didactica'!H78</f>
        <v>0</v>
      </c>
    </row>
    <row r="33" spans="1:3" x14ac:dyDescent="0.25">
      <c r="A33" s="115" t="s">
        <v>153</v>
      </c>
      <c r="B33" s="116">
        <f>'A. Activitate didactica'!G84</f>
        <v>0</v>
      </c>
      <c r="C33" s="116">
        <f>'A. Activitate didactica'!H84</f>
        <v>0</v>
      </c>
    </row>
    <row r="34" spans="1:3" x14ac:dyDescent="0.25">
      <c r="A34" s="115" t="s">
        <v>475</v>
      </c>
      <c r="B34" s="116">
        <f>'A. Activitate didactica'!G95</f>
        <v>0</v>
      </c>
      <c r="C34" s="116">
        <f>'A. Activitate didactica'!H95</f>
        <v>0</v>
      </c>
    </row>
    <row r="35" spans="1:3" x14ac:dyDescent="0.25">
      <c r="A35" s="118" t="s">
        <v>122</v>
      </c>
      <c r="B35" s="114">
        <f>'A. Activitate didactica'!G106</f>
        <v>0</v>
      </c>
      <c r="C35" s="114">
        <f>'A. Activitate didactica'!H106</f>
        <v>0</v>
      </c>
    </row>
    <row r="36" spans="1:3" x14ac:dyDescent="0.25">
      <c r="A36" s="115" t="s">
        <v>154</v>
      </c>
      <c r="B36" s="116">
        <f>'A. Activitate didactica'!G107</f>
        <v>0</v>
      </c>
      <c r="C36" s="116">
        <f>'A. Activitate didactica'!H107</f>
        <v>0</v>
      </c>
    </row>
    <row r="37" spans="1:3" x14ac:dyDescent="0.25">
      <c r="A37" s="115" t="s">
        <v>155</v>
      </c>
      <c r="B37" s="116">
        <f>'A. Activitate didactica'!G113</f>
        <v>0</v>
      </c>
      <c r="C37" s="116">
        <f>'A. Activitate didactica'!H113</f>
        <v>0</v>
      </c>
    </row>
    <row r="38" spans="1:3" ht="16.5" thickBot="1" x14ac:dyDescent="0.3">
      <c r="A38" s="115" t="s">
        <v>473</v>
      </c>
      <c r="B38" s="119">
        <f>'A. Activitate didactica'!G119</f>
        <v>0</v>
      </c>
      <c r="C38" s="119">
        <f>'A. Activitate didactica'!H119</f>
        <v>0</v>
      </c>
    </row>
    <row r="39" spans="1:3" ht="33" customHeight="1" thickBot="1" x14ac:dyDescent="0.3">
      <c r="A39" s="120" t="s">
        <v>289</v>
      </c>
      <c r="B39" s="121"/>
      <c r="C39" s="122">
        <f>'A. Activitate didactica'!H125</f>
        <v>0</v>
      </c>
    </row>
    <row r="40" spans="1:3" ht="16.5" thickBot="1" x14ac:dyDescent="0.3">
      <c r="A40" s="111" t="s">
        <v>158</v>
      </c>
      <c r="B40" s="112">
        <f>'A. Activitate didactica'!G126</f>
        <v>0</v>
      </c>
      <c r="C40" s="112">
        <f>'A. Activitate didactica'!H126</f>
        <v>0</v>
      </c>
    </row>
    <row r="41" spans="1:3" ht="32.25" thickBot="1" x14ac:dyDescent="0.3">
      <c r="A41" s="120" t="s">
        <v>100</v>
      </c>
      <c r="B41" s="121"/>
      <c r="C41" s="122">
        <f>'A. Activitate didactica'!H149</f>
        <v>0</v>
      </c>
    </row>
    <row r="42" spans="1:3" x14ac:dyDescent="0.25">
      <c r="A42" s="111" t="s">
        <v>159</v>
      </c>
      <c r="B42" s="112">
        <f>'A. Activitate didactica'!G150</f>
        <v>0</v>
      </c>
      <c r="C42" s="112">
        <f>'A. Activitate didactica'!H150</f>
        <v>0</v>
      </c>
    </row>
    <row r="43" spans="1:3" x14ac:dyDescent="0.25">
      <c r="A43" s="115" t="s">
        <v>154</v>
      </c>
      <c r="B43" s="116">
        <f>'A. Activitate didactica'!G151</f>
        <v>0</v>
      </c>
      <c r="C43" s="116">
        <f>'A. Activitate didactica'!H151</f>
        <v>0</v>
      </c>
    </row>
    <row r="44" spans="1:3" x14ac:dyDescent="0.25">
      <c r="A44" s="115" t="s">
        <v>155</v>
      </c>
      <c r="B44" s="116">
        <f>'A. Activitate didactica'!G157</f>
        <v>0</v>
      </c>
      <c r="C44" s="116">
        <f>'A. Activitate didactica'!H157</f>
        <v>0</v>
      </c>
    </row>
    <row r="45" spans="1:3" x14ac:dyDescent="0.25">
      <c r="A45" s="115" t="s">
        <v>475</v>
      </c>
      <c r="B45" s="116">
        <f>'A. Activitate didactica'!G166</f>
        <v>0</v>
      </c>
      <c r="C45" s="116">
        <f>'A. Activitate didactica'!H166</f>
        <v>0</v>
      </c>
    </row>
    <row r="46" spans="1:3" x14ac:dyDescent="0.25">
      <c r="A46" s="117" t="s">
        <v>160</v>
      </c>
      <c r="B46" s="114">
        <f>'A. Activitate didactica'!G176</f>
        <v>0</v>
      </c>
      <c r="C46" s="114">
        <f>'A. Activitate didactica'!H176</f>
        <v>0</v>
      </c>
    </row>
    <row r="47" spans="1:3" x14ac:dyDescent="0.25">
      <c r="A47" s="115" t="s">
        <v>156</v>
      </c>
      <c r="B47" s="116">
        <f>'A. Activitate didactica'!G177</f>
        <v>0</v>
      </c>
      <c r="C47" s="116">
        <f>'A. Activitate didactica'!H177</f>
        <v>0</v>
      </c>
    </row>
    <row r="48" spans="1:3" x14ac:dyDescent="0.25">
      <c r="A48" s="115" t="s">
        <v>157</v>
      </c>
      <c r="B48" s="116">
        <f>'A. Activitate didactica'!G183</f>
        <v>0</v>
      </c>
      <c r="C48" s="116">
        <f>'A. Activitate didactica'!H183</f>
        <v>0</v>
      </c>
    </row>
    <row r="49" spans="1:6" ht="16.5" thickBot="1" x14ac:dyDescent="0.3">
      <c r="A49" s="115" t="s">
        <v>475</v>
      </c>
      <c r="B49" s="119">
        <f>'A. Activitate didactica'!G193</f>
        <v>0</v>
      </c>
      <c r="C49" s="119">
        <f>'A. Activitate didactica'!H193</f>
        <v>0</v>
      </c>
    </row>
    <row r="50" spans="1:6" ht="32.25" thickBot="1" x14ac:dyDescent="0.3">
      <c r="A50" s="120" t="s">
        <v>288</v>
      </c>
      <c r="B50" s="121"/>
      <c r="C50" s="122">
        <f>'A. Activitate didactica'!H203</f>
        <v>0</v>
      </c>
    </row>
    <row r="51" spans="1:6" ht="16.5" thickBot="1" x14ac:dyDescent="0.3">
      <c r="A51" s="123" t="s">
        <v>161</v>
      </c>
      <c r="B51" s="112">
        <f>'A. Activitate didactica'!G204</f>
        <v>0</v>
      </c>
      <c r="C51" s="112">
        <f>'A. Activitate didactica'!H204</f>
        <v>0</v>
      </c>
    </row>
    <row r="52" spans="1:6" ht="20.25" thickTop="1" thickBot="1" x14ac:dyDescent="0.3">
      <c r="A52" s="124" t="s">
        <v>101</v>
      </c>
      <c r="B52" s="125"/>
      <c r="C52" s="126">
        <f>'B. Activitate de cercetare'!H7</f>
        <v>0</v>
      </c>
    </row>
    <row r="53" spans="1:6" ht="66" x14ac:dyDescent="0.25">
      <c r="A53" s="127" t="s">
        <v>352</v>
      </c>
      <c r="B53" s="128"/>
      <c r="C53" s="129">
        <f>'B. Activitate de cercetare'!H8</f>
        <v>0</v>
      </c>
      <c r="E53" s="1"/>
    </row>
    <row r="54" spans="1:6" ht="48" thickBot="1" x14ac:dyDescent="0.3">
      <c r="A54" s="130" t="s">
        <v>472</v>
      </c>
      <c r="B54" s="131"/>
      <c r="C54" s="132"/>
      <c r="F54" t="s">
        <v>138</v>
      </c>
    </row>
    <row r="55" spans="1:6" ht="18.75" customHeight="1" x14ac:dyDescent="0.25">
      <c r="A55" s="286" t="s">
        <v>312</v>
      </c>
      <c r="B55" s="112">
        <f>'B. Activitate de cercetare'!G10</f>
        <v>0</v>
      </c>
      <c r="C55" s="112">
        <f>'B. Activitate de cercetare'!H10</f>
        <v>0</v>
      </c>
    </row>
    <row r="56" spans="1:6" x14ac:dyDescent="0.25">
      <c r="A56" s="285" t="s">
        <v>313</v>
      </c>
      <c r="B56" s="116">
        <f>'B. Activitate de cercetare'!G11</f>
        <v>0</v>
      </c>
      <c r="C56" s="116">
        <f>'B. Activitate de cercetare'!H11</f>
        <v>0</v>
      </c>
    </row>
    <row r="57" spans="1:6" x14ac:dyDescent="0.25">
      <c r="A57" s="285" t="s">
        <v>314</v>
      </c>
      <c r="B57" s="116">
        <f>'B. Activitate de cercetare'!G31</f>
        <v>0</v>
      </c>
      <c r="C57" s="116">
        <f>'B. Activitate de cercetare'!H31</f>
        <v>0</v>
      </c>
    </row>
    <row r="58" spans="1:6" x14ac:dyDescent="0.25">
      <c r="A58" s="287" t="s">
        <v>400</v>
      </c>
      <c r="B58" s="114">
        <f>'B. Activitate de cercetare'!G54</f>
        <v>0</v>
      </c>
      <c r="C58" s="114">
        <f>'B. Activitate de cercetare'!H54</f>
        <v>0</v>
      </c>
    </row>
    <row r="59" spans="1:6" ht="31.5" x14ac:dyDescent="0.25">
      <c r="A59" s="287" t="s">
        <v>316</v>
      </c>
      <c r="B59" s="114">
        <f>'B. Activitate de cercetare'!G57</f>
        <v>0</v>
      </c>
      <c r="C59" s="114">
        <f>'B. Activitate de cercetare'!H57</f>
        <v>0</v>
      </c>
    </row>
    <row r="60" spans="1:6" ht="16.5" thickBot="1" x14ac:dyDescent="0.3">
      <c r="A60" s="287" t="s">
        <v>315</v>
      </c>
      <c r="B60" s="114">
        <f>'B. Activitate de cercetare'!G64</f>
        <v>0</v>
      </c>
      <c r="C60" s="114">
        <f>'B. Activitate de cercetare'!H64</f>
        <v>0</v>
      </c>
    </row>
    <row r="61" spans="1:6" ht="19.5" thickBot="1" x14ac:dyDescent="0.3">
      <c r="A61" s="133" t="s">
        <v>279</v>
      </c>
      <c r="B61" s="122">
        <f>'B. Activitate de cercetare'!G73</f>
        <v>0</v>
      </c>
      <c r="C61" s="122">
        <f>'B. Activitate de cercetare'!H73</f>
        <v>0</v>
      </c>
    </row>
    <row r="62" spans="1:6" x14ac:dyDescent="0.25">
      <c r="A62" s="111" t="s">
        <v>167</v>
      </c>
      <c r="B62" s="112">
        <f>'B. Activitate de cercetare'!G74</f>
        <v>0</v>
      </c>
      <c r="C62" s="112">
        <f>'B. Activitate de cercetare'!H74</f>
        <v>0</v>
      </c>
    </row>
    <row r="63" spans="1:6" x14ac:dyDescent="0.25">
      <c r="A63" s="115" t="s">
        <v>105</v>
      </c>
      <c r="B63" s="116">
        <f>'B. Activitate de cercetare'!G75</f>
        <v>0</v>
      </c>
      <c r="C63" s="116">
        <f>'B. Activitate de cercetare'!H75</f>
        <v>0</v>
      </c>
    </row>
    <row r="64" spans="1:6" x14ac:dyDescent="0.25">
      <c r="A64" s="115" t="s">
        <v>108</v>
      </c>
      <c r="B64" s="116">
        <f>'B. Activitate de cercetare'!G83</f>
        <v>0</v>
      </c>
      <c r="C64" s="116">
        <f>'B. Activitate de cercetare'!H83</f>
        <v>0</v>
      </c>
    </row>
    <row r="65" spans="1:3" x14ac:dyDescent="0.25">
      <c r="A65" s="115" t="s">
        <v>297</v>
      </c>
      <c r="B65" s="116">
        <f>'B. Activitate de cercetare'!G90</f>
        <v>0</v>
      </c>
      <c r="C65" s="116">
        <f>'B. Activitate de cercetare'!H90</f>
        <v>0</v>
      </c>
    </row>
    <row r="66" spans="1:3" ht="31.5" x14ac:dyDescent="0.25">
      <c r="A66" s="117" t="s">
        <v>286</v>
      </c>
      <c r="B66" s="114">
        <f>'B. Activitate de cercetare'!G99</f>
        <v>0</v>
      </c>
      <c r="C66" s="114">
        <f>'B. Activitate de cercetare'!H99</f>
        <v>0</v>
      </c>
    </row>
    <row r="67" spans="1:3" x14ac:dyDescent="0.25">
      <c r="A67" s="115" t="s">
        <v>106</v>
      </c>
      <c r="B67" s="116">
        <f>'B. Activitate de cercetare'!G100</f>
        <v>0</v>
      </c>
      <c r="C67" s="116">
        <f>'B. Activitate de cercetare'!H100</f>
        <v>0</v>
      </c>
    </row>
    <row r="68" spans="1:3" x14ac:dyDescent="0.25">
      <c r="A68" s="115" t="s">
        <v>109</v>
      </c>
      <c r="B68" s="116">
        <f>'B. Activitate de cercetare'!G119</f>
        <v>0</v>
      </c>
      <c r="C68" s="116">
        <f>'B. Activitate de cercetare'!H119</f>
        <v>0</v>
      </c>
    </row>
    <row r="69" spans="1:3" x14ac:dyDescent="0.25">
      <c r="A69" s="115" t="s">
        <v>296</v>
      </c>
      <c r="B69" s="116">
        <f>'B. Activitate de cercetare'!G136</f>
        <v>0</v>
      </c>
      <c r="C69" s="116">
        <f>'B. Activitate de cercetare'!H136</f>
        <v>0</v>
      </c>
    </row>
    <row r="70" spans="1:3" ht="31.5" x14ac:dyDescent="0.25">
      <c r="A70" s="115" t="s">
        <v>317</v>
      </c>
      <c r="B70" s="116">
        <f>'B. Activitate de cercetare'!G151</f>
        <v>0</v>
      </c>
      <c r="C70" s="116">
        <f>'B. Activitate de cercetare'!H151</f>
        <v>0</v>
      </c>
    </row>
    <row r="71" spans="1:3" x14ac:dyDescent="0.25">
      <c r="A71" s="117" t="s">
        <v>166</v>
      </c>
      <c r="B71" s="114">
        <f>'B. Activitate de cercetare'!G152</f>
        <v>0</v>
      </c>
      <c r="C71" s="114">
        <f>'B. Activitate de cercetare'!H152</f>
        <v>0</v>
      </c>
    </row>
    <row r="72" spans="1:3" x14ac:dyDescent="0.25">
      <c r="A72" s="118" t="s">
        <v>120</v>
      </c>
      <c r="B72" s="114">
        <f>'B. Activitate de cercetare'!G153</f>
        <v>0</v>
      </c>
      <c r="C72" s="114">
        <f>'B. Activitate de cercetare'!H153</f>
        <v>0</v>
      </c>
    </row>
    <row r="73" spans="1:3" x14ac:dyDescent="0.25">
      <c r="A73" s="115" t="s">
        <v>106</v>
      </c>
      <c r="B73" s="116">
        <f>'B. Activitate de cercetare'!G154</f>
        <v>0</v>
      </c>
      <c r="C73" s="116">
        <f>'B. Activitate de cercetare'!H154</f>
        <v>0</v>
      </c>
    </row>
    <row r="74" spans="1:3" x14ac:dyDescent="0.25">
      <c r="A74" s="115" t="s">
        <v>109</v>
      </c>
      <c r="B74" s="116">
        <f>'B. Activitate de cercetare'!G163</f>
        <v>0</v>
      </c>
      <c r="C74" s="116">
        <f>'B. Activitate de cercetare'!H163</f>
        <v>0</v>
      </c>
    </row>
    <row r="75" spans="1:3" x14ac:dyDescent="0.25">
      <c r="A75" s="285" t="s">
        <v>401</v>
      </c>
      <c r="B75" s="116">
        <f>'B. Activitate de cercetare'!G174</f>
        <v>0</v>
      </c>
      <c r="C75" s="116">
        <f>'B. Activitate de cercetare'!H174</f>
        <v>0</v>
      </c>
    </row>
    <row r="76" spans="1:3" x14ac:dyDescent="0.25">
      <c r="A76" s="288" t="s">
        <v>402</v>
      </c>
      <c r="B76" s="114">
        <f>'B. Activitate de cercetare'!G184</f>
        <v>0</v>
      </c>
      <c r="C76" s="114">
        <f>'B. Activitate de cercetare'!H184</f>
        <v>0</v>
      </c>
    </row>
    <row r="77" spans="1:3" x14ac:dyDescent="0.25">
      <c r="A77" s="289" t="s">
        <v>110</v>
      </c>
      <c r="B77" s="114">
        <f>'B. Activitate de cercetare'!G185</f>
        <v>0</v>
      </c>
      <c r="C77" s="114">
        <f>'B. Activitate de cercetare'!H185</f>
        <v>0</v>
      </c>
    </row>
    <row r="78" spans="1:3" x14ac:dyDescent="0.25">
      <c r="A78" s="285" t="s">
        <v>111</v>
      </c>
      <c r="B78" s="116">
        <f>'B. Activitate de cercetare'!G186</f>
        <v>0</v>
      </c>
      <c r="C78" s="116">
        <f>'B. Activitate de cercetare'!H186</f>
        <v>0</v>
      </c>
    </row>
    <row r="79" spans="1:3" x14ac:dyDescent="0.25">
      <c r="A79" s="285" t="s">
        <v>112</v>
      </c>
      <c r="B79" s="116">
        <f>'B. Activitate de cercetare'!G194</f>
        <v>0</v>
      </c>
      <c r="C79" s="116">
        <f>'B. Activitate de cercetare'!H194</f>
        <v>0</v>
      </c>
    </row>
    <row r="80" spans="1:3" x14ac:dyDescent="0.25">
      <c r="A80" s="285" t="s">
        <v>403</v>
      </c>
      <c r="B80" s="116">
        <f>'B. Activitate de cercetare'!G204</f>
        <v>0</v>
      </c>
      <c r="C80" s="116">
        <f>'B. Activitate de cercetare'!H204</f>
        <v>0</v>
      </c>
    </row>
    <row r="81" spans="1:3" x14ac:dyDescent="0.25">
      <c r="A81" s="289" t="s">
        <v>113</v>
      </c>
      <c r="B81" s="114">
        <f>'B. Activitate de cercetare'!G213</f>
        <v>0</v>
      </c>
      <c r="C81" s="114">
        <f>'B. Activitate de cercetare'!H213</f>
        <v>0</v>
      </c>
    </row>
    <row r="82" spans="1:3" x14ac:dyDescent="0.25">
      <c r="A82" s="285" t="s">
        <v>136</v>
      </c>
      <c r="B82" s="116">
        <f>'B. Activitate de cercetare'!G214</f>
        <v>0</v>
      </c>
      <c r="C82" s="116">
        <f>'B. Activitate de cercetare'!H214</f>
        <v>0</v>
      </c>
    </row>
    <row r="83" spans="1:3" x14ac:dyDescent="0.25">
      <c r="A83" s="285" t="s">
        <v>404</v>
      </c>
      <c r="B83" s="116">
        <f>'B. Activitate de cercetare'!G223</f>
        <v>0</v>
      </c>
      <c r="C83" s="116">
        <f>'B. Activitate de cercetare'!H223</f>
        <v>0</v>
      </c>
    </row>
    <row r="84" spans="1:3" x14ac:dyDescent="0.25">
      <c r="A84" s="285" t="s">
        <v>405</v>
      </c>
      <c r="B84" s="116">
        <f>'B. Activitate de cercetare'!G234</f>
        <v>0</v>
      </c>
      <c r="C84" s="116">
        <f>'B. Activitate de cercetare'!H234</f>
        <v>0</v>
      </c>
    </row>
    <row r="85" spans="1:3" x14ac:dyDescent="0.25">
      <c r="A85" s="289" t="s">
        <v>291</v>
      </c>
      <c r="B85" s="114">
        <f>'B. Activitate de cercetare'!G244</f>
        <v>0</v>
      </c>
      <c r="C85" s="114">
        <f>'B. Activitate de cercetare'!H244</f>
        <v>0</v>
      </c>
    </row>
    <row r="86" spans="1:3" x14ac:dyDescent="0.25">
      <c r="A86" s="285" t="s">
        <v>137</v>
      </c>
      <c r="B86" s="116">
        <f>'B. Activitate de cercetare'!G245</f>
        <v>0</v>
      </c>
      <c r="C86" s="116">
        <f>'B. Activitate de cercetare'!H245</f>
        <v>0</v>
      </c>
    </row>
    <row r="87" spans="1:3" x14ac:dyDescent="0.25">
      <c r="A87" s="285" t="s">
        <v>406</v>
      </c>
      <c r="B87" s="116">
        <f>'B. Activitate de cercetare'!G256</f>
        <v>0</v>
      </c>
      <c r="C87" s="116">
        <f>'B. Activitate de cercetare'!H256</f>
        <v>0</v>
      </c>
    </row>
    <row r="88" spans="1:3" x14ac:dyDescent="0.25">
      <c r="A88" s="285" t="s">
        <v>407</v>
      </c>
      <c r="B88" s="116">
        <f>'B. Activitate de cercetare'!G271</f>
        <v>0</v>
      </c>
      <c r="C88" s="116">
        <f>'B. Activitate de cercetare'!H271</f>
        <v>0</v>
      </c>
    </row>
    <row r="89" spans="1:3" x14ac:dyDescent="0.25">
      <c r="A89" s="285" t="s">
        <v>408</v>
      </c>
      <c r="B89" s="116">
        <f>'B. Activitate de cercetare'!G282</f>
        <v>0</v>
      </c>
      <c r="C89" s="116">
        <f>'B. Activitate de cercetare'!H282</f>
        <v>0</v>
      </c>
    </row>
    <row r="90" spans="1:3" x14ac:dyDescent="0.25">
      <c r="A90" s="113" t="s">
        <v>280</v>
      </c>
      <c r="B90" s="114">
        <f>'B. Activitate de cercetare'!G292</f>
        <v>0</v>
      </c>
      <c r="C90" s="114">
        <f>'B. Activitate de cercetare'!H292</f>
        <v>0</v>
      </c>
    </row>
    <row r="91" spans="1:3" x14ac:dyDescent="0.25">
      <c r="A91" s="115" t="s">
        <v>168</v>
      </c>
      <c r="B91" s="116">
        <f>'B. Activitate de cercetare'!G293</f>
        <v>0</v>
      </c>
      <c r="C91" s="116">
        <f>'B. Activitate de cercetare'!H293</f>
        <v>0</v>
      </c>
    </row>
    <row r="92" spans="1:3" x14ac:dyDescent="0.25">
      <c r="A92" s="285" t="s">
        <v>409</v>
      </c>
      <c r="B92" s="116">
        <f>'B. Activitate de cercetare'!G302</f>
        <v>0</v>
      </c>
      <c r="C92" s="116">
        <f>'B. Activitate de cercetare'!H302</f>
        <v>0</v>
      </c>
    </row>
    <row r="93" spans="1:3" x14ac:dyDescent="0.25">
      <c r="A93" s="285" t="s">
        <v>410</v>
      </c>
      <c r="B93" s="116">
        <f>'B. Activitate de cercetare'!G312</f>
        <v>0</v>
      </c>
      <c r="C93" s="116">
        <f>'B. Activitate de cercetare'!H312</f>
        <v>0</v>
      </c>
    </row>
    <row r="94" spans="1:3" x14ac:dyDescent="0.25">
      <c r="A94" s="289" t="s">
        <v>281</v>
      </c>
      <c r="B94" s="114">
        <f>'B. Activitate de cercetare'!G322</f>
        <v>0</v>
      </c>
      <c r="C94" s="114">
        <f>'B. Activitate de cercetare'!H322</f>
        <v>0</v>
      </c>
    </row>
    <row r="95" spans="1:3" x14ac:dyDescent="0.25">
      <c r="A95" s="285" t="s">
        <v>111</v>
      </c>
      <c r="B95" s="116">
        <f>'B. Activitate de cercetare'!G323</f>
        <v>0</v>
      </c>
      <c r="C95" s="116">
        <f>'B. Activitate de cercetare'!H323</f>
        <v>0</v>
      </c>
    </row>
    <row r="96" spans="1:3" x14ac:dyDescent="0.25">
      <c r="A96" s="285" t="s">
        <v>114</v>
      </c>
      <c r="B96" s="116">
        <f>'B. Activitate de cercetare'!G333</f>
        <v>0</v>
      </c>
      <c r="C96" s="116">
        <f>'B. Activitate de cercetare'!H333</f>
        <v>0</v>
      </c>
    </row>
    <row r="97" spans="1:3" x14ac:dyDescent="0.25">
      <c r="A97" s="285" t="s">
        <v>411</v>
      </c>
      <c r="B97" s="116">
        <f>'B. Activitate de cercetare'!G343</f>
        <v>0</v>
      </c>
      <c r="C97" s="116">
        <f>'B. Activitate de cercetare'!H343</f>
        <v>0</v>
      </c>
    </row>
    <row r="98" spans="1:3" ht="31.5" x14ac:dyDescent="0.25">
      <c r="A98" s="287" t="s">
        <v>412</v>
      </c>
      <c r="B98" s="114">
        <f>'B. Activitate de cercetare'!G353</f>
        <v>0</v>
      </c>
      <c r="C98" s="114">
        <f>'B. Activitate de cercetare'!H353</f>
        <v>0</v>
      </c>
    </row>
    <row r="99" spans="1:3" x14ac:dyDescent="0.25">
      <c r="A99" s="285" t="s">
        <v>115</v>
      </c>
      <c r="B99" s="116">
        <f>'B. Activitate de cercetare'!G354</f>
        <v>0</v>
      </c>
      <c r="C99" s="116">
        <f>'B. Activitate de cercetare'!H354</f>
        <v>0</v>
      </c>
    </row>
    <row r="100" spans="1:3" x14ac:dyDescent="0.25">
      <c r="A100" s="285" t="s">
        <v>116</v>
      </c>
      <c r="B100" s="116">
        <f>'B. Activitate de cercetare'!G365</f>
        <v>0</v>
      </c>
      <c r="C100" s="116">
        <f>'B. Activitate de cercetare'!H365</f>
        <v>0</v>
      </c>
    </row>
    <row r="101" spans="1:3" x14ac:dyDescent="0.25">
      <c r="A101" s="285" t="s">
        <v>413</v>
      </c>
      <c r="B101" s="116">
        <f>'B. Activitate de cercetare'!G377</f>
        <v>0</v>
      </c>
      <c r="C101" s="116">
        <f>'B. Activitate de cercetare'!H377</f>
        <v>0</v>
      </c>
    </row>
    <row r="102" spans="1:3" x14ac:dyDescent="0.25">
      <c r="A102" s="287" t="s">
        <v>414</v>
      </c>
      <c r="B102" s="114">
        <f>'B. Activitate de cercetare'!G389</f>
        <v>0</v>
      </c>
      <c r="C102" s="114">
        <f>'B. Activitate de cercetare'!H389</f>
        <v>0</v>
      </c>
    </row>
    <row r="103" spans="1:3" x14ac:dyDescent="0.25">
      <c r="A103" s="285" t="s">
        <v>106</v>
      </c>
      <c r="B103" s="116">
        <f>'B. Activitate de cercetare'!G390</f>
        <v>0</v>
      </c>
      <c r="C103" s="116">
        <f>'B. Activitate de cercetare'!H390</f>
        <v>0</v>
      </c>
    </row>
    <row r="104" spans="1:3" x14ac:dyDescent="0.25">
      <c r="A104" s="285" t="s">
        <v>117</v>
      </c>
      <c r="B104" s="116">
        <f>'B. Activitate de cercetare'!G399</f>
        <v>0</v>
      </c>
      <c r="C104" s="116">
        <f>'B. Activitate de cercetare'!H399</f>
        <v>0</v>
      </c>
    </row>
    <row r="105" spans="1:3" ht="16.5" thickBot="1" x14ac:dyDescent="0.3">
      <c r="A105" s="290" t="s">
        <v>415</v>
      </c>
      <c r="B105" s="119">
        <f>'B. Activitate de cercetare'!G409</f>
        <v>0</v>
      </c>
      <c r="C105" s="119">
        <f>'B. Activitate de cercetare'!H409</f>
        <v>0</v>
      </c>
    </row>
    <row r="106" spans="1:3" ht="32.25" thickBot="1" x14ac:dyDescent="0.3">
      <c r="A106" s="120" t="s">
        <v>290</v>
      </c>
      <c r="B106" s="121"/>
      <c r="C106" s="122">
        <f>'B. Activitate de cercetare'!H419</f>
        <v>0</v>
      </c>
    </row>
    <row r="107" spans="1:3" ht="32.25" thickBot="1" x14ac:dyDescent="0.3">
      <c r="A107" s="111" t="s">
        <v>318</v>
      </c>
      <c r="B107" s="112">
        <f>'B. Activitate de cercetare'!G420</f>
        <v>0</v>
      </c>
      <c r="C107" s="112">
        <f>'B. Activitate de cercetare'!H420</f>
        <v>0</v>
      </c>
    </row>
    <row r="108" spans="1:3" ht="16.5" thickBot="1" x14ac:dyDescent="0.3">
      <c r="A108" s="120" t="s">
        <v>102</v>
      </c>
      <c r="B108" s="122">
        <f>'B. Activitate de cercetare'!G452</f>
        <v>0</v>
      </c>
      <c r="C108" s="122">
        <f>'B. Activitate de cercetare'!H452</f>
        <v>0</v>
      </c>
    </row>
    <row r="109" spans="1:3" x14ac:dyDescent="0.25">
      <c r="A109" s="135" t="s">
        <v>174</v>
      </c>
      <c r="B109" s="136">
        <f>'B. Activitate de cercetare'!G453</f>
        <v>0</v>
      </c>
      <c r="C109" s="136">
        <f>'B. Activitate de cercetare'!H453</f>
        <v>0</v>
      </c>
    </row>
    <row r="110" spans="1:3" x14ac:dyDescent="0.25">
      <c r="A110" s="115" t="s">
        <v>169</v>
      </c>
      <c r="B110" s="116">
        <f>'B. Activitate de cercetare'!G458</f>
        <v>0</v>
      </c>
      <c r="C110" s="116">
        <f>'B. Activitate de cercetare'!H458</f>
        <v>0</v>
      </c>
    </row>
    <row r="111" spans="1:3" ht="16.5" thickBot="1" x14ac:dyDescent="0.3">
      <c r="A111" s="134" t="s">
        <v>170</v>
      </c>
      <c r="B111" s="119">
        <f>'B. Activitate de cercetare'!G463</f>
        <v>0</v>
      </c>
      <c r="C111" s="119">
        <f>'B. Activitate de cercetare'!H463</f>
        <v>0</v>
      </c>
    </row>
    <row r="112" spans="1:3" ht="16.5" thickBot="1" x14ac:dyDescent="0.3">
      <c r="A112" s="120" t="s">
        <v>103</v>
      </c>
      <c r="B112" s="122">
        <f>'B. Activitate de cercetare'!G468</f>
        <v>0</v>
      </c>
      <c r="C112" s="122">
        <f>'B. Activitate de cercetare'!H468</f>
        <v>0</v>
      </c>
    </row>
    <row r="113" spans="1:5" x14ac:dyDescent="0.25">
      <c r="A113" s="135" t="s">
        <v>173</v>
      </c>
      <c r="B113" s="136">
        <f>'B. Activitate de cercetare'!G469</f>
        <v>0</v>
      </c>
      <c r="C113" s="136">
        <f>'B. Activitate de cercetare'!H469</f>
        <v>0</v>
      </c>
    </row>
    <row r="114" spans="1:5" ht="16.5" thickBot="1" x14ac:dyDescent="0.3">
      <c r="A114" s="134" t="s">
        <v>171</v>
      </c>
      <c r="B114" s="119">
        <f>'B. Activitate de cercetare'!G477</f>
        <v>0</v>
      </c>
      <c r="C114" s="119">
        <f>'B. Activitate de cercetare'!H477</f>
        <v>0</v>
      </c>
    </row>
    <row r="115" spans="1:5" ht="16.5" thickBot="1" x14ac:dyDescent="0.3">
      <c r="A115" s="120" t="s">
        <v>104</v>
      </c>
      <c r="B115" s="122">
        <f>'B. Activitate de cercetare'!G482</f>
        <v>0</v>
      </c>
      <c r="C115" s="122">
        <f>'B. Activitate de cercetare'!H482</f>
        <v>0</v>
      </c>
    </row>
    <row r="116" spans="1:5" x14ac:dyDescent="0.25">
      <c r="A116" s="115" t="s">
        <v>123</v>
      </c>
      <c r="B116" s="112">
        <f>B117+B118</f>
        <v>0</v>
      </c>
      <c r="C116" s="112">
        <f>C117+C118</f>
        <v>0</v>
      </c>
    </row>
    <row r="117" spans="1:5" ht="25.5" customHeight="1" x14ac:dyDescent="0.25">
      <c r="A117" s="115" t="s">
        <v>175</v>
      </c>
      <c r="B117" s="116">
        <f>'B. Activitate de cercetare'!G484</f>
        <v>0</v>
      </c>
      <c r="C117" s="116">
        <f>'B. Activitate de cercetare'!H484</f>
        <v>0</v>
      </c>
    </row>
    <row r="118" spans="1:5" ht="16.5" thickBot="1" x14ac:dyDescent="0.3">
      <c r="A118" s="134" t="s">
        <v>172</v>
      </c>
      <c r="B118" s="119">
        <f>'B. Activitate de cercetare'!G489</f>
        <v>0</v>
      </c>
      <c r="C118" s="119">
        <f>'B. Activitate de cercetare'!H489</f>
        <v>0</v>
      </c>
    </row>
    <row r="119" spans="1:5" ht="39" thickTop="1" thickBot="1" x14ac:dyDescent="0.3">
      <c r="A119" s="124" t="s">
        <v>186</v>
      </c>
      <c r="B119" s="137"/>
      <c r="C119" s="126">
        <f>'C. Prestigiu profesional'!F9</f>
        <v>0</v>
      </c>
    </row>
    <row r="120" spans="1:5" ht="16.5" thickBot="1" x14ac:dyDescent="0.3">
      <c r="A120" s="120" t="s">
        <v>70</v>
      </c>
      <c r="B120" s="122">
        <f>'C. Prestigiu profesional'!E10</f>
        <v>0</v>
      </c>
      <c r="C120" s="122">
        <f>'C. Prestigiu profesional'!F10</f>
        <v>0</v>
      </c>
    </row>
    <row r="121" spans="1:5" x14ac:dyDescent="0.25">
      <c r="A121" s="135" t="s">
        <v>176</v>
      </c>
      <c r="B121" s="136">
        <f>'C. Prestigiu profesional'!E11</f>
        <v>0</v>
      </c>
      <c r="C121" s="136">
        <f>'C. Prestigiu profesional'!F11</f>
        <v>0</v>
      </c>
      <c r="E121" t="s">
        <v>138</v>
      </c>
    </row>
    <row r="122" spans="1:5" x14ac:dyDescent="0.25">
      <c r="A122" s="115" t="s">
        <v>322</v>
      </c>
      <c r="B122" s="116">
        <f>'C. Prestigiu profesional'!E15</f>
        <v>0</v>
      </c>
      <c r="C122" s="116">
        <f>'C. Prestigiu profesional'!F15</f>
        <v>0</v>
      </c>
    </row>
    <row r="123" spans="1:5" ht="32.25" thickBot="1" x14ac:dyDescent="0.3">
      <c r="A123" s="134" t="s">
        <v>177</v>
      </c>
      <c r="B123" s="119">
        <f>'C. Prestigiu profesional'!E19</f>
        <v>0</v>
      </c>
      <c r="C123" s="119">
        <f>'C. Prestigiu profesional'!F19</f>
        <v>0</v>
      </c>
    </row>
    <row r="124" spans="1:5" ht="32.25" thickBot="1" x14ac:dyDescent="0.3">
      <c r="A124" s="120" t="s">
        <v>178</v>
      </c>
      <c r="B124" s="122">
        <f>'C. Prestigiu profesional'!E23</f>
        <v>0</v>
      </c>
      <c r="C124" s="122">
        <f>'C. Prestigiu profesional'!F23</f>
        <v>0</v>
      </c>
    </row>
    <row r="125" spans="1:5" ht="20.25" customHeight="1" x14ac:dyDescent="0.25">
      <c r="A125" s="135" t="s">
        <v>319</v>
      </c>
      <c r="B125" s="136">
        <f>'C. Prestigiu profesional'!E24</f>
        <v>0</v>
      </c>
      <c r="C125" s="136">
        <f>'C. Prestigiu profesional'!F24</f>
        <v>0</v>
      </c>
    </row>
    <row r="126" spans="1:5" ht="16.5" thickBot="1" x14ac:dyDescent="0.3">
      <c r="A126" s="134" t="s">
        <v>320</v>
      </c>
      <c r="B126" s="119">
        <f>'C. Prestigiu profesional'!E30</f>
        <v>0</v>
      </c>
      <c r="C126" s="119">
        <f>'C. Prestigiu profesional'!F30</f>
        <v>0</v>
      </c>
    </row>
    <row r="127" spans="1:5" ht="29.25" thickBot="1" x14ac:dyDescent="0.3">
      <c r="A127" s="120" t="s">
        <v>189</v>
      </c>
      <c r="B127" s="122">
        <f>'C. Prestigiu profesional'!E36</f>
        <v>0</v>
      </c>
      <c r="C127" s="122">
        <f>'C. Prestigiu profesional'!F36</f>
        <v>0</v>
      </c>
    </row>
    <row r="128" spans="1:5" x14ac:dyDescent="0.25">
      <c r="A128" s="135" t="s">
        <v>179</v>
      </c>
      <c r="B128" s="136">
        <f>'C. Prestigiu profesional'!E37</f>
        <v>0</v>
      </c>
      <c r="C128" s="136">
        <f>'C. Prestigiu profesional'!F37</f>
        <v>0</v>
      </c>
    </row>
    <row r="129" spans="1:3" ht="16.5" thickBot="1" x14ac:dyDescent="0.3">
      <c r="A129" s="134" t="s">
        <v>118</v>
      </c>
      <c r="B129" s="119">
        <f>'C. Prestigiu profesional'!E43</f>
        <v>0</v>
      </c>
      <c r="C129" s="119">
        <f>'C. Prestigiu profesional'!F43</f>
        <v>0</v>
      </c>
    </row>
    <row r="130" spans="1:3" ht="16.5" thickBot="1" x14ac:dyDescent="0.3">
      <c r="A130" s="120" t="s">
        <v>121</v>
      </c>
      <c r="B130" s="122">
        <f>'C. Prestigiu profesional'!E49</f>
        <v>0</v>
      </c>
      <c r="C130" s="122">
        <f>'C. Prestigiu profesional'!F49</f>
        <v>0</v>
      </c>
    </row>
    <row r="131" spans="1:3" x14ac:dyDescent="0.25">
      <c r="A131" s="135" t="s">
        <v>321</v>
      </c>
      <c r="B131" s="136">
        <f>'C. Prestigiu profesional'!E50</f>
        <v>0</v>
      </c>
      <c r="C131" s="136">
        <f>'C. Prestigiu profesional'!F50</f>
        <v>0</v>
      </c>
    </row>
    <row r="132" spans="1:3" x14ac:dyDescent="0.25">
      <c r="A132" s="384" t="s">
        <v>416</v>
      </c>
      <c r="B132" s="152">
        <f>'C. Prestigiu profesional'!E56</f>
        <v>0</v>
      </c>
      <c r="C132" s="383">
        <f>'C. Prestigiu profesional'!F56</f>
        <v>0</v>
      </c>
    </row>
    <row r="133" spans="1:3" x14ac:dyDescent="0.25">
      <c r="A133" s="384" t="s">
        <v>417</v>
      </c>
      <c r="B133" s="152">
        <f>'C. Prestigiu profesional'!E62</f>
        <v>0</v>
      </c>
      <c r="C133" s="383">
        <f>'C. Prestigiu profesional'!F62</f>
        <v>0</v>
      </c>
    </row>
    <row r="134" spans="1:3" ht="16.5" thickBot="1" x14ac:dyDescent="0.3">
      <c r="A134" s="385" t="s">
        <v>485</v>
      </c>
      <c r="B134" s="151">
        <f>'C. Prestigiu profesional'!E71</f>
        <v>0</v>
      </c>
      <c r="C134" s="383">
        <f>'C. Prestigiu profesional'!F71</f>
        <v>0</v>
      </c>
    </row>
    <row r="135" spans="1:3" ht="16.5" thickBot="1" x14ac:dyDescent="0.3">
      <c r="A135" s="291" t="s">
        <v>418</v>
      </c>
      <c r="B135" s="121" t="s">
        <v>87</v>
      </c>
      <c r="C135" s="122">
        <f>'C. Prestigiu profesional'!F77</f>
        <v>0</v>
      </c>
    </row>
    <row r="136" spans="1:3" x14ac:dyDescent="0.25">
      <c r="A136" s="135" t="s">
        <v>355</v>
      </c>
      <c r="B136" s="138">
        <f>'C. Prestigiu profesional'!C78</f>
        <v>0</v>
      </c>
      <c r="C136" s="136">
        <f>'C. Prestigiu profesional'!F78</f>
        <v>0</v>
      </c>
    </row>
    <row r="137" spans="1:3" x14ac:dyDescent="0.25">
      <c r="A137" s="115" t="s">
        <v>353</v>
      </c>
      <c r="B137" s="139">
        <f>'C. Prestigiu profesional'!C79</f>
        <v>0</v>
      </c>
      <c r="C137" s="116">
        <f>'C. Prestigiu profesional'!F79</f>
        <v>0</v>
      </c>
    </row>
    <row r="138" spans="1:3" ht="16.5" thickBot="1" x14ac:dyDescent="0.3">
      <c r="A138" s="134" t="s">
        <v>354</v>
      </c>
      <c r="B138" s="140">
        <f>'C. Prestigiu profesional'!C80</f>
        <v>0</v>
      </c>
      <c r="C138" s="119">
        <f>'C. Prestigiu profesional'!F80</f>
        <v>0</v>
      </c>
    </row>
    <row r="139" spans="1:3" ht="32.25" thickBot="1" x14ac:dyDescent="0.3">
      <c r="A139" s="291" t="s">
        <v>419</v>
      </c>
      <c r="B139" s="122">
        <f>'C. Prestigiu profesional'!D81</f>
        <v>0</v>
      </c>
      <c r="C139" s="122">
        <f>'C. Prestigiu profesional'!F81</f>
        <v>0</v>
      </c>
    </row>
    <row r="140" spans="1:3" x14ac:dyDescent="0.25">
      <c r="A140" s="135" t="s">
        <v>303</v>
      </c>
      <c r="B140" s="136">
        <f>'C. Prestigiu profesional'!D82</f>
        <v>0</v>
      </c>
      <c r="C140" s="136">
        <f>'C. Prestigiu profesional'!F82</f>
        <v>0</v>
      </c>
    </row>
    <row r="141" spans="1:3" x14ac:dyDescent="0.25">
      <c r="A141" s="141" t="s">
        <v>304</v>
      </c>
      <c r="B141" s="142">
        <f>'C. Prestigiu profesional'!D97</f>
        <v>0</v>
      </c>
      <c r="C141" s="142">
        <f>'C. Prestigiu profesional'!F97</f>
        <v>0</v>
      </c>
    </row>
    <row r="142" spans="1:3" x14ac:dyDescent="0.25">
      <c r="A142" s="141" t="s">
        <v>180</v>
      </c>
      <c r="B142" s="142">
        <f>'C. Prestigiu profesional'!D116</f>
        <v>0</v>
      </c>
      <c r="C142" s="142">
        <f>'C. Prestigiu profesional'!F116</f>
        <v>0</v>
      </c>
    </row>
    <row r="143" spans="1:3" ht="16.5" thickBot="1" x14ac:dyDescent="0.3">
      <c r="A143" s="134" t="s">
        <v>181</v>
      </c>
      <c r="B143" s="119">
        <f>'C. Prestigiu profesional'!D129</f>
        <v>0</v>
      </c>
      <c r="C143" s="119">
        <f>'C. Prestigiu profesional'!F129</f>
        <v>0</v>
      </c>
    </row>
    <row r="144" spans="1:3" ht="16.5" thickBot="1" x14ac:dyDescent="0.3">
      <c r="A144" s="143" t="s">
        <v>183</v>
      </c>
      <c r="B144" s="122">
        <f>'C. Prestigiu profesional'!D157</f>
        <v>0</v>
      </c>
      <c r="C144" s="122">
        <f>'C. Prestigiu profesional'!F157</f>
        <v>0</v>
      </c>
    </row>
    <row r="145" spans="1:3" x14ac:dyDescent="0.25">
      <c r="A145" s="144" t="s">
        <v>184</v>
      </c>
      <c r="B145" s="150">
        <f>'C. Prestigiu profesional'!D158</f>
        <v>0</v>
      </c>
      <c r="C145" s="186">
        <f>'C. Prestigiu profesional'!F158</f>
        <v>0</v>
      </c>
    </row>
    <row r="146" spans="1:3" ht="16.5" thickBot="1" x14ac:dyDescent="0.3">
      <c r="A146" s="145" t="s">
        <v>185</v>
      </c>
      <c r="B146" s="151">
        <f>'C. Prestigiu profesional'!D158</f>
        <v>0</v>
      </c>
      <c r="C146" s="187">
        <f>'C. Prestigiu profesional'!F158</f>
        <v>0</v>
      </c>
    </row>
    <row r="147" spans="1:3" x14ac:dyDescent="0.25">
      <c r="A147" s="292" t="s">
        <v>323</v>
      </c>
      <c r="B147" s="150"/>
      <c r="C147" s="186"/>
    </row>
    <row r="148" spans="1:3" x14ac:dyDescent="0.25">
      <c r="A148" s="293" t="s">
        <v>325</v>
      </c>
      <c r="B148" s="152">
        <f>'C. Prestigiu profesional'!D168</f>
        <v>0</v>
      </c>
      <c r="C148" s="116">
        <f>'C. Prestigiu profesional'!F168</f>
        <v>0</v>
      </c>
    </row>
    <row r="149" spans="1:3" ht="16.5" thickBot="1" x14ac:dyDescent="0.3">
      <c r="A149" s="294" t="s">
        <v>324</v>
      </c>
      <c r="B149" s="151">
        <f>'C. Prestigiu profesional'!D172</f>
        <v>0</v>
      </c>
      <c r="C149" s="187">
        <f>'C. Prestigiu profesional'!F172</f>
        <v>0</v>
      </c>
    </row>
    <row r="150" spans="1:3" ht="16.5" thickBot="1" x14ac:dyDescent="0.3">
      <c r="A150" s="143" t="s">
        <v>182</v>
      </c>
      <c r="B150" s="146"/>
      <c r="C150" s="122">
        <f>'C. Prestigiu profesional'!F176</f>
        <v>0</v>
      </c>
    </row>
    <row r="151" spans="1:3" ht="16.5" thickBot="1" x14ac:dyDescent="0.3">
      <c r="A151" s="147" t="s">
        <v>284</v>
      </c>
      <c r="B151" s="154"/>
      <c r="C151" s="156">
        <f>'C. Prestigiu profesional'!F177</f>
        <v>0</v>
      </c>
    </row>
    <row r="152" spans="1:3" x14ac:dyDescent="0.25">
      <c r="A152" s="135" t="s">
        <v>326</v>
      </c>
      <c r="B152" s="152">
        <f>'C. Prestigiu profesional'!E178</f>
        <v>0</v>
      </c>
      <c r="C152" s="155">
        <f>'C. Prestigiu profesional'!F178</f>
        <v>0</v>
      </c>
    </row>
    <row r="153" spans="1:3" ht="16.5" thickBot="1" x14ac:dyDescent="0.3">
      <c r="A153" s="115" t="s">
        <v>327</v>
      </c>
      <c r="B153" s="152">
        <f>'C. Prestigiu profesional'!E182</f>
        <v>0</v>
      </c>
      <c r="C153" s="158">
        <f>'C. Prestigiu profesional'!F182</f>
        <v>0</v>
      </c>
    </row>
    <row r="154" spans="1:3" ht="78" customHeight="1" thickBot="1" x14ac:dyDescent="0.3">
      <c r="A154" s="113" t="s">
        <v>481</v>
      </c>
      <c r="B154" s="157"/>
      <c r="C154" s="156">
        <f>'C. Prestigiu profesional'!F186</f>
        <v>0</v>
      </c>
    </row>
    <row r="155" spans="1:3" ht="32.25" thickBot="1" x14ac:dyDescent="0.3">
      <c r="A155" s="113" t="s">
        <v>285</v>
      </c>
      <c r="B155" s="159">
        <f>'C. Prestigiu profesional'!E193</f>
        <v>0</v>
      </c>
      <c r="C155" s="156">
        <f>'C. Prestigiu profesional'!F193</f>
        <v>0</v>
      </c>
    </row>
    <row r="156" spans="1:3" x14ac:dyDescent="0.25">
      <c r="A156" s="115" t="s">
        <v>328</v>
      </c>
      <c r="B156" s="152"/>
      <c r="C156" s="155">
        <f>'C. Prestigiu profesional'!F194</f>
        <v>0</v>
      </c>
    </row>
    <row r="157" spans="1:3" ht="16.5" thickBot="1" x14ac:dyDescent="0.3">
      <c r="A157" s="115" t="s">
        <v>331</v>
      </c>
      <c r="B157" s="152"/>
      <c r="C157" s="158">
        <f>'C. Prestigiu profesional'!F200</f>
        <v>0</v>
      </c>
    </row>
    <row r="158" spans="1:3" ht="16.5" thickBot="1" x14ac:dyDescent="0.3">
      <c r="A158" s="113" t="s">
        <v>76</v>
      </c>
      <c r="B158" s="159">
        <f>'C. Prestigiu profesional'!E206</f>
        <v>0</v>
      </c>
      <c r="C158" s="156">
        <f>'C. Prestigiu profesional'!F206</f>
        <v>0</v>
      </c>
    </row>
    <row r="159" spans="1:3" x14ac:dyDescent="0.25">
      <c r="A159" s="115" t="s">
        <v>329</v>
      </c>
      <c r="B159" s="152"/>
      <c r="C159" s="155">
        <f>'C. Prestigiu profesional'!F207</f>
        <v>0</v>
      </c>
    </row>
    <row r="160" spans="1:3" ht="16.5" thickBot="1" x14ac:dyDescent="0.3">
      <c r="A160" s="115" t="s">
        <v>330</v>
      </c>
      <c r="B160" s="152"/>
      <c r="C160" s="158">
        <f>'C. Prestigiu profesional'!F212</f>
        <v>0</v>
      </c>
    </row>
    <row r="161" spans="1:3" ht="16.5" thickBot="1" x14ac:dyDescent="0.3">
      <c r="A161" s="289" t="s">
        <v>420</v>
      </c>
      <c r="B161" s="159">
        <f>'C. Prestigiu profesional'!E217</f>
        <v>0</v>
      </c>
      <c r="C161" s="156">
        <f>'C. Prestigiu profesional'!F217</f>
        <v>0</v>
      </c>
    </row>
    <row r="162" spans="1:3" ht="16.5" thickBot="1" x14ac:dyDescent="0.3">
      <c r="A162" s="113" t="s">
        <v>332</v>
      </c>
      <c r="B162" s="159">
        <f>'C. Prestigiu profesional'!E219</f>
        <v>0</v>
      </c>
      <c r="C162" s="156">
        <f>'C. Prestigiu profesional'!F219</f>
        <v>0</v>
      </c>
    </row>
    <row r="163" spans="1:3" ht="32.25" thickBot="1" x14ac:dyDescent="0.3">
      <c r="A163" s="113" t="s">
        <v>310</v>
      </c>
      <c r="B163" s="159">
        <f>'C. Prestigiu profesional'!E222</f>
        <v>0</v>
      </c>
      <c r="C163" s="156">
        <f>'C. Prestigiu profesional'!F222</f>
        <v>0</v>
      </c>
    </row>
    <row r="164" spans="1:3" ht="16.5" thickBot="1" x14ac:dyDescent="0.3">
      <c r="A164" s="295" t="s">
        <v>300</v>
      </c>
      <c r="B164" s="159"/>
      <c r="C164" s="175">
        <f>'C. Prestigiu profesional'!F227</f>
        <v>0</v>
      </c>
    </row>
    <row r="165" spans="1:3" ht="16.5" thickBot="1" x14ac:dyDescent="0.3">
      <c r="A165" s="295" t="s">
        <v>421</v>
      </c>
      <c r="B165" s="159"/>
      <c r="C165" s="175">
        <f>'C. Prestigiu profesional'!F229</f>
        <v>0</v>
      </c>
    </row>
    <row r="166" spans="1:3" ht="16.5" thickBot="1" x14ac:dyDescent="0.3">
      <c r="A166" s="295" t="s">
        <v>301</v>
      </c>
      <c r="B166" s="159"/>
      <c r="C166" s="156">
        <f>'C. Prestigiu profesional'!F231</f>
        <v>0</v>
      </c>
    </row>
    <row r="167" spans="1:3" x14ac:dyDescent="0.25">
      <c r="A167" s="296" t="s">
        <v>422</v>
      </c>
      <c r="B167" s="159"/>
      <c r="C167" s="177">
        <f>'C. Prestigiu profesional'!F232</f>
        <v>0</v>
      </c>
    </row>
    <row r="168" spans="1:3" x14ac:dyDescent="0.25">
      <c r="A168" s="296" t="s">
        <v>423</v>
      </c>
      <c r="B168" s="159"/>
      <c r="C168" s="176">
        <f>'C. Prestigiu profesional'!F233</f>
        <v>0</v>
      </c>
    </row>
    <row r="169" spans="1:3" ht="16.5" thickBot="1" x14ac:dyDescent="0.3">
      <c r="A169" s="297" t="s">
        <v>424</v>
      </c>
      <c r="B169" s="181"/>
      <c r="C169" s="178">
        <f>'C. Prestigiu profesional'!F234</f>
        <v>0</v>
      </c>
    </row>
    <row r="170" spans="1:3" ht="16.5" thickBot="1" x14ac:dyDescent="0.3">
      <c r="A170" s="295" t="s">
        <v>338</v>
      </c>
      <c r="B170" s="159"/>
      <c r="C170" s="156">
        <f>'C. Prestigiu profesional'!F235</f>
        <v>0</v>
      </c>
    </row>
    <row r="171" spans="1:3" ht="16.5" thickBot="1" x14ac:dyDescent="0.3">
      <c r="A171" s="295" t="s">
        <v>333</v>
      </c>
      <c r="B171" s="159"/>
      <c r="C171" s="156">
        <f>'C. Prestigiu profesional'!F237</f>
        <v>0</v>
      </c>
    </row>
    <row r="172" spans="1:3" x14ac:dyDescent="0.25">
      <c r="A172" s="296" t="s">
        <v>334</v>
      </c>
      <c r="B172" s="176"/>
      <c r="C172" s="193">
        <f>'C. Prestigiu profesional'!F238</f>
        <v>0</v>
      </c>
    </row>
    <row r="173" spans="1:3" ht="16.5" thickBot="1" x14ac:dyDescent="0.3">
      <c r="A173" s="296" t="s">
        <v>335</v>
      </c>
      <c r="B173" s="176"/>
      <c r="C173" s="178">
        <f>'C. Prestigiu profesional'!F239</f>
        <v>0</v>
      </c>
    </row>
    <row r="174" spans="1:3" ht="16.5" thickBot="1" x14ac:dyDescent="0.3">
      <c r="A174" s="298" t="s">
        <v>336</v>
      </c>
      <c r="B174" s="180"/>
      <c r="C174" s="156">
        <f>'C. Prestigiu profesional'!F240</f>
        <v>0</v>
      </c>
    </row>
    <row r="175" spans="1:3" ht="16.5" thickBot="1" x14ac:dyDescent="0.3">
      <c r="A175" s="299" t="s">
        <v>337</v>
      </c>
      <c r="B175" s="159"/>
      <c r="C175" s="156">
        <f>'C. Prestigiu profesional'!F242</f>
        <v>0</v>
      </c>
    </row>
    <row r="176" spans="1:3" ht="32.25" thickBot="1" x14ac:dyDescent="0.3">
      <c r="A176" s="289" t="s">
        <v>425</v>
      </c>
      <c r="B176" s="159">
        <f>'C. Prestigiu profesional'!E244</f>
        <v>0</v>
      </c>
      <c r="C176" s="156">
        <f>'C. Prestigiu profesional'!F244</f>
        <v>0</v>
      </c>
    </row>
    <row r="177" spans="1:3" ht="16.5" thickBot="1" x14ac:dyDescent="0.3">
      <c r="A177" s="289" t="s">
        <v>339</v>
      </c>
      <c r="B177" s="159">
        <f>'C. Prestigiu profesional'!E248</f>
        <v>0</v>
      </c>
      <c r="C177" s="156">
        <f>'C. Prestigiu profesional'!F248</f>
        <v>0</v>
      </c>
    </row>
    <row r="178" spans="1:3" x14ac:dyDescent="0.25">
      <c r="A178" s="285" t="s">
        <v>340</v>
      </c>
      <c r="B178" s="152">
        <f>'C. Prestigiu profesional'!E249</f>
        <v>0</v>
      </c>
      <c r="C178" s="155">
        <f>'C. Prestigiu profesional'!F249</f>
        <v>0</v>
      </c>
    </row>
    <row r="179" spans="1:3" ht="15.75" customHeight="1" thickBot="1" x14ac:dyDescent="0.3">
      <c r="A179" s="290" t="s">
        <v>426</v>
      </c>
      <c r="B179" s="153">
        <f>'C. Prestigiu profesional'!E254</f>
        <v>0</v>
      </c>
      <c r="C179" s="153">
        <f>'C. Prestigiu profesional'!F254</f>
        <v>0</v>
      </c>
    </row>
    <row r="180" spans="1:3" ht="17.25" thickTop="1" thickBot="1" x14ac:dyDescent="0.3">
      <c r="A180" s="12" t="s">
        <v>80</v>
      </c>
      <c r="B180" s="13"/>
      <c r="C180" s="8">
        <f>C119+C52+C15</f>
        <v>0</v>
      </c>
    </row>
    <row r="181" spans="1:3" x14ac:dyDescent="0.25">
      <c r="A181" s="82"/>
    </row>
    <row r="182" spans="1:3" ht="145.5" customHeight="1" x14ac:dyDescent="0.25">
      <c r="A182" s="319" t="s">
        <v>393</v>
      </c>
      <c r="B182" s="319"/>
      <c r="C182" s="319"/>
    </row>
    <row r="183" spans="1:3" ht="43.5" customHeight="1" x14ac:dyDescent="0.25">
      <c r="A183" s="319" t="s">
        <v>295</v>
      </c>
      <c r="B183" s="319"/>
      <c r="C183" s="319"/>
    </row>
    <row r="184" spans="1:3" x14ac:dyDescent="0.25">
      <c r="A184" s="319" t="s">
        <v>292</v>
      </c>
      <c r="B184" s="319"/>
      <c r="C184" s="319"/>
    </row>
    <row r="185" spans="1:3" ht="31.5" customHeight="1" x14ac:dyDescent="0.25">
      <c r="A185" s="319" t="s">
        <v>187</v>
      </c>
      <c r="B185" s="319"/>
      <c r="C185" s="319"/>
    </row>
    <row r="186" spans="1:3" ht="47.25" customHeight="1" x14ac:dyDescent="0.25">
      <c r="A186" s="320" t="s">
        <v>341</v>
      </c>
      <c r="B186" s="320"/>
      <c r="C186" s="320"/>
    </row>
    <row r="187" spans="1:3" x14ac:dyDescent="0.25">
      <c r="A187" s="319" t="s">
        <v>386</v>
      </c>
      <c r="B187" s="319"/>
      <c r="C187" s="319"/>
    </row>
    <row r="188" spans="1:3" ht="47.25" customHeight="1" x14ac:dyDescent="0.25">
      <c r="A188" s="319" t="s">
        <v>387</v>
      </c>
      <c r="B188" s="319"/>
      <c r="C188" s="319"/>
    </row>
    <row r="189" spans="1:3" x14ac:dyDescent="0.25">
      <c r="A189" s="319" t="s">
        <v>388</v>
      </c>
      <c r="B189" s="319"/>
      <c r="C189" s="319"/>
    </row>
    <row r="190" spans="1:3" x14ac:dyDescent="0.25">
      <c r="A190" s="319" t="s">
        <v>389</v>
      </c>
      <c r="B190" s="319"/>
      <c r="C190" s="319"/>
    </row>
    <row r="191" spans="1:3" x14ac:dyDescent="0.25">
      <c r="A191" s="319" t="s">
        <v>395</v>
      </c>
      <c r="B191" s="319"/>
      <c r="C191" s="319"/>
    </row>
    <row r="192" spans="1:3" x14ac:dyDescent="0.25">
      <c r="A192" s="319" t="s">
        <v>390</v>
      </c>
      <c r="B192" s="319"/>
      <c r="C192" s="319"/>
    </row>
    <row r="193" spans="1:3" ht="31.5" customHeight="1" x14ac:dyDescent="0.25">
      <c r="A193" s="319" t="s">
        <v>394</v>
      </c>
      <c r="B193" s="319"/>
      <c r="C193" s="319"/>
    </row>
    <row r="194" spans="1:3" x14ac:dyDescent="0.25">
      <c r="A194" s="319" t="s">
        <v>391</v>
      </c>
      <c r="B194" s="319"/>
      <c r="C194" s="319"/>
    </row>
    <row r="195" spans="1:3" x14ac:dyDescent="0.25">
      <c r="A195" s="319" t="s">
        <v>396</v>
      </c>
      <c r="B195" s="319"/>
      <c r="C195" s="319"/>
    </row>
    <row r="196" spans="1:3" x14ac:dyDescent="0.25">
      <c r="A196" s="319" t="s">
        <v>397</v>
      </c>
      <c r="B196" s="319"/>
      <c r="C196" s="319"/>
    </row>
    <row r="197" spans="1:3" x14ac:dyDescent="0.25">
      <c r="A197" s="319" t="s">
        <v>392</v>
      </c>
      <c r="B197" s="319"/>
      <c r="C197" s="319"/>
    </row>
    <row r="198" spans="1:3" x14ac:dyDescent="0.25">
      <c r="A198" s="284"/>
      <c r="B198" s="284"/>
      <c r="C198" s="284"/>
    </row>
    <row r="199" spans="1:3" x14ac:dyDescent="0.25">
      <c r="A199" s="319" t="s">
        <v>293</v>
      </c>
      <c r="B199" s="319"/>
      <c r="C199" s="319"/>
    </row>
    <row r="200" spans="1:3" x14ac:dyDescent="0.25">
      <c r="A200" s="171"/>
    </row>
    <row r="201" spans="1:3" x14ac:dyDescent="0.25">
      <c r="A201" s="318" t="s">
        <v>294</v>
      </c>
      <c r="B201" s="318"/>
      <c r="C201" s="318"/>
    </row>
    <row r="219" spans="5:5" x14ac:dyDescent="0.25">
      <c r="E219" t="s">
        <v>427</v>
      </c>
    </row>
  </sheetData>
  <sheetProtection password="CE9C" sheet="1" objects="1" scenarios="1"/>
  <mergeCells count="21">
    <mergeCell ref="F1:G1"/>
    <mergeCell ref="B4:C4"/>
    <mergeCell ref="B5:C5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201:C201"/>
    <mergeCell ref="A194:C194"/>
    <mergeCell ref="A195:C195"/>
    <mergeCell ref="A196:C196"/>
    <mergeCell ref="A197:C197"/>
    <mergeCell ref="A199:C199"/>
  </mergeCells>
  <pageMargins left="0.11811023622047245" right="0.11811023622047245" top="0.15748031496062992" bottom="0.15748031496062992" header="0.11811023622047245" footer="0.1181102362204724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4"/>
  <sheetViews>
    <sheetView workbookViewId="0">
      <selection activeCell="E4" sqref="E4"/>
    </sheetView>
  </sheetViews>
  <sheetFormatPr defaultRowHeight="15" x14ac:dyDescent="0.25"/>
  <cols>
    <col min="1" max="1" width="7.42578125" style="51" customWidth="1"/>
    <col min="2" max="2" width="8.5703125" style="51" customWidth="1"/>
    <col min="3" max="3" width="68.140625" style="51" customWidth="1"/>
    <col min="4" max="5" width="9.7109375" style="51" customWidth="1"/>
    <col min="6" max="6" width="11.140625" style="51" customWidth="1"/>
    <col min="7" max="7" width="7.42578125" style="51" customWidth="1"/>
    <col min="8" max="8" width="8.5703125" style="204" bestFit="1" customWidth="1"/>
    <col min="9" max="10" width="9.140625" style="51"/>
    <col min="11" max="11" width="31.7109375" style="51" customWidth="1"/>
    <col min="12" max="16384" width="9.140625" style="51"/>
  </cols>
  <sheetData>
    <row r="1" spans="1:12" ht="15.75" x14ac:dyDescent="0.25">
      <c r="A1" s="279" t="s">
        <v>0</v>
      </c>
      <c r="B1" s="278"/>
      <c r="C1" s="278"/>
      <c r="D1" s="197"/>
      <c r="F1" s="197"/>
      <c r="G1" s="197"/>
      <c r="H1" s="199"/>
    </row>
    <row r="2" spans="1:12" ht="16.5" thickBot="1" x14ac:dyDescent="0.3">
      <c r="A2" s="278" t="s">
        <v>378</v>
      </c>
      <c r="B2" s="277"/>
      <c r="C2" s="276">
        <f>'fisa word'!G2</f>
        <v>0</v>
      </c>
      <c r="D2" s="197"/>
      <c r="F2" s="197"/>
      <c r="G2" s="197"/>
      <c r="H2" s="199"/>
    </row>
    <row r="3" spans="1:12" ht="16.5" thickBot="1" x14ac:dyDescent="0.3">
      <c r="A3" s="278" t="s">
        <v>377</v>
      </c>
      <c r="B3" s="277"/>
      <c r="C3" s="276">
        <f>'fisa word'!G3</f>
        <v>0</v>
      </c>
      <c r="D3" s="197" t="s">
        <v>1</v>
      </c>
      <c r="F3" s="197"/>
      <c r="G3" s="200">
        <f>'fisa word'!B9</f>
        <v>5</v>
      </c>
      <c r="H3" s="199" t="s">
        <v>2</v>
      </c>
    </row>
    <row r="4" spans="1:12" ht="18.75" x14ac:dyDescent="0.3">
      <c r="A4" s="197"/>
      <c r="B4" s="197"/>
      <c r="C4" s="195">
        <f>'fisa word'!G4</f>
        <v>0</v>
      </c>
      <c r="D4" s="197"/>
      <c r="E4" s="197"/>
      <c r="F4" s="197"/>
      <c r="G4" s="197"/>
      <c r="H4" s="199"/>
    </row>
    <row r="5" spans="1:12" ht="18.75" x14ac:dyDescent="0.3">
      <c r="A5" s="197"/>
      <c r="B5" s="197"/>
      <c r="C5" s="195">
        <f>'fisa word'!G5</f>
        <v>0</v>
      </c>
      <c r="D5" s="197"/>
      <c r="E5" s="197"/>
      <c r="F5" s="197"/>
      <c r="G5" s="197"/>
      <c r="H5" s="199"/>
    </row>
    <row r="6" spans="1:12" ht="30.75" thickBot="1" x14ac:dyDescent="0.3">
      <c r="A6" s="327" t="s">
        <v>3</v>
      </c>
      <c r="B6" s="328"/>
      <c r="C6" s="70" t="s">
        <v>124</v>
      </c>
      <c r="D6" s="71" t="s">
        <v>191</v>
      </c>
      <c r="E6" s="72"/>
      <c r="F6" s="73" t="s">
        <v>11</v>
      </c>
      <c r="G6" s="73" t="s">
        <v>9</v>
      </c>
      <c r="H6" s="74" t="s">
        <v>12</v>
      </c>
      <c r="K6" s="99" t="s">
        <v>193</v>
      </c>
    </row>
    <row r="7" spans="1:12" ht="31.5" thickTop="1" thickBot="1" x14ac:dyDescent="0.3">
      <c r="A7" s="107" t="s">
        <v>4</v>
      </c>
      <c r="B7" s="45"/>
      <c r="C7" s="45"/>
      <c r="D7" s="45"/>
      <c r="E7" s="38"/>
      <c r="F7" s="38"/>
      <c r="G7" s="38"/>
      <c r="H7" s="75">
        <f>35*(H8+H149)/100</f>
        <v>0</v>
      </c>
      <c r="K7" s="270" t="s">
        <v>194</v>
      </c>
      <c r="L7" s="271"/>
    </row>
    <row r="8" spans="1:12" ht="21" customHeight="1" thickTop="1" thickBot="1" x14ac:dyDescent="0.3">
      <c r="A8" s="106" t="s">
        <v>5</v>
      </c>
      <c r="B8" s="46"/>
      <c r="C8" s="46"/>
      <c r="D8" s="46"/>
      <c r="E8" s="47"/>
      <c r="F8" s="47"/>
      <c r="G8" s="47">
        <f>G9+G57+G76</f>
        <v>0</v>
      </c>
      <c r="H8" s="166">
        <f>H125+H126</f>
        <v>0</v>
      </c>
      <c r="K8" s="270" t="s">
        <v>190</v>
      </c>
      <c r="L8" s="272"/>
    </row>
    <row r="9" spans="1:12" ht="15" customHeight="1" thickBot="1" x14ac:dyDescent="0.3">
      <c r="A9" s="335" t="s">
        <v>13</v>
      </c>
      <c r="B9" s="37" t="s">
        <v>15</v>
      </c>
      <c r="C9" s="38"/>
      <c r="D9" s="38"/>
      <c r="E9" s="38"/>
      <c r="F9" s="38"/>
      <c r="G9" s="38">
        <f>G10+G38</f>
        <v>0</v>
      </c>
      <c r="H9" s="75">
        <f>H10+H38</f>
        <v>0</v>
      </c>
      <c r="K9" s="51" t="s">
        <v>195</v>
      </c>
      <c r="L9" s="273">
        <f>L7*L8/3139</f>
        <v>0</v>
      </c>
    </row>
    <row r="10" spans="1:12" ht="15" customHeight="1" thickBot="1" x14ac:dyDescent="0.3">
      <c r="A10" s="333"/>
      <c r="B10" s="339" t="s">
        <v>6</v>
      </c>
      <c r="C10" s="35" t="s">
        <v>197</v>
      </c>
      <c r="D10" s="35"/>
      <c r="E10" s="35"/>
      <c r="F10" s="49"/>
      <c r="G10" s="50">
        <f>G11+G17</f>
        <v>0</v>
      </c>
      <c r="H10" s="86">
        <f>H11+H17+H28</f>
        <v>0</v>
      </c>
    </row>
    <row r="11" spans="1:12" ht="15.75" thickBot="1" x14ac:dyDescent="0.3">
      <c r="A11" s="333"/>
      <c r="B11" s="340"/>
      <c r="C11" s="36" t="s">
        <v>196</v>
      </c>
      <c r="F11" s="36"/>
      <c r="G11" s="49">
        <f>COUNTIF(D13:D16,"nu")</f>
        <v>0</v>
      </c>
      <c r="H11" s="52">
        <f>SUMIF(D13:D16,"NU",H13:H16)</f>
        <v>0</v>
      </c>
    </row>
    <row r="12" spans="1:12" ht="15.75" thickBot="1" x14ac:dyDescent="0.3">
      <c r="A12" s="333"/>
      <c r="B12" s="340"/>
      <c r="C12" s="36" t="s">
        <v>199</v>
      </c>
      <c r="D12" s="53" t="s">
        <v>192</v>
      </c>
      <c r="E12" s="36" t="s">
        <v>10</v>
      </c>
      <c r="F12" s="36"/>
      <c r="G12" s="49">
        <f>COUNTIF(D13:D16,"da")</f>
        <v>0</v>
      </c>
      <c r="H12" s="54">
        <f>SUMIF(D13:D16,"DA",H13:H16)</f>
        <v>0</v>
      </c>
    </row>
    <row r="13" spans="1:12" x14ac:dyDescent="0.25">
      <c r="A13" s="333"/>
      <c r="B13" s="340"/>
      <c r="C13" s="44"/>
      <c r="D13" s="55"/>
      <c r="E13" s="44"/>
      <c r="F13" s="36"/>
      <c r="G13" s="36"/>
      <c r="H13" s="56">
        <f xml:space="preserve"> 2*E13</f>
        <v>0</v>
      </c>
    </row>
    <row r="14" spans="1:12" x14ac:dyDescent="0.25">
      <c r="A14" s="333"/>
      <c r="B14" s="340"/>
      <c r="C14" s="44"/>
      <c r="D14" s="55"/>
      <c r="E14" s="44"/>
      <c r="F14" s="36"/>
      <c r="G14" s="36"/>
      <c r="H14" s="56">
        <f xml:space="preserve"> 2*E14</f>
        <v>0</v>
      </c>
    </row>
    <row r="15" spans="1:12" x14ac:dyDescent="0.25">
      <c r="A15" s="333"/>
      <c r="B15" s="340"/>
      <c r="C15" s="44"/>
      <c r="D15" s="55"/>
      <c r="E15" s="44"/>
      <c r="F15" s="36"/>
      <c r="G15" s="36"/>
      <c r="H15" s="56">
        <f xml:space="preserve"> 2*E15</f>
        <v>0</v>
      </c>
      <c r="J15" s="204"/>
    </row>
    <row r="16" spans="1:12" ht="15.75" thickBot="1" x14ac:dyDescent="0.3">
      <c r="A16" s="333"/>
      <c r="B16" s="340"/>
      <c r="C16" s="44"/>
      <c r="D16" s="55"/>
      <c r="E16" s="44"/>
      <c r="F16" s="36"/>
      <c r="G16" s="57"/>
      <c r="H16" s="48">
        <f xml:space="preserve"> 2*E16</f>
        <v>0</v>
      </c>
      <c r="J16" s="204"/>
    </row>
    <row r="17" spans="1:8" x14ac:dyDescent="0.25">
      <c r="A17" s="333"/>
      <c r="B17" s="340"/>
      <c r="C17" s="36" t="s">
        <v>200</v>
      </c>
      <c r="D17" s="53"/>
      <c r="E17" s="36"/>
      <c r="F17" s="58"/>
      <c r="G17" s="59">
        <f>COUNTIF(D19:D27,"nu")</f>
        <v>0</v>
      </c>
      <c r="H17" s="60">
        <f>SUMIF(D19:D27,"NU",H19:H27)</f>
        <v>0</v>
      </c>
    </row>
    <row r="18" spans="1:8" ht="15.75" thickBot="1" x14ac:dyDescent="0.3">
      <c r="A18" s="333"/>
      <c r="B18" s="340"/>
      <c r="C18" s="36" t="s">
        <v>201</v>
      </c>
      <c r="D18" s="53" t="s">
        <v>192</v>
      </c>
      <c r="E18" s="36" t="s">
        <v>10</v>
      </c>
      <c r="F18" s="58" t="s">
        <v>11</v>
      </c>
      <c r="G18" s="61">
        <f>COUNTIF(D19:D27,"da")</f>
        <v>0</v>
      </c>
      <c r="H18" s="62">
        <f>SUMIF(D19:D27,"DA",H19:H27)</f>
        <v>0</v>
      </c>
    </row>
    <row r="19" spans="1:8" x14ac:dyDescent="0.25">
      <c r="A19" s="333"/>
      <c r="B19" s="340"/>
      <c r="C19" s="44"/>
      <c r="D19" s="78"/>
      <c r="E19" s="78"/>
      <c r="F19" s="78"/>
      <c r="G19" s="35"/>
      <c r="H19" s="56">
        <f>IF(F19=0,0,(2*E19)/(F19))</f>
        <v>0</v>
      </c>
    </row>
    <row r="20" spans="1:8" x14ac:dyDescent="0.25">
      <c r="A20" s="333"/>
      <c r="B20" s="340"/>
      <c r="C20" s="44"/>
      <c r="D20" s="78"/>
      <c r="E20" s="78"/>
      <c r="F20" s="78"/>
      <c r="G20" s="36"/>
      <c r="H20" s="56">
        <f>IF(F20=0,0,(2*E20)/(F20))</f>
        <v>0</v>
      </c>
    </row>
    <row r="21" spans="1:8" x14ac:dyDescent="0.25">
      <c r="A21" s="333"/>
      <c r="B21" s="340"/>
      <c r="C21" s="44"/>
      <c r="D21" s="78"/>
      <c r="E21" s="78"/>
      <c r="F21" s="78"/>
      <c r="G21" s="36"/>
      <c r="H21" s="56">
        <f t="shared" ref="H21:H26" si="0">IF(F21=0,0,(2*E21)/(F21))</f>
        <v>0</v>
      </c>
    </row>
    <row r="22" spans="1:8" x14ac:dyDescent="0.25">
      <c r="A22" s="333"/>
      <c r="B22" s="340"/>
      <c r="C22" s="44"/>
      <c r="D22" s="78"/>
      <c r="E22" s="78"/>
      <c r="F22" s="78"/>
      <c r="G22" s="36"/>
      <c r="H22" s="56">
        <f t="shared" si="0"/>
        <v>0</v>
      </c>
    </row>
    <row r="23" spans="1:8" x14ac:dyDescent="0.25">
      <c r="A23" s="333"/>
      <c r="B23" s="340"/>
      <c r="C23" s="44"/>
      <c r="D23" s="78"/>
      <c r="E23" s="78"/>
      <c r="F23" s="78"/>
      <c r="G23" s="36"/>
      <c r="H23" s="56">
        <f t="shared" si="0"/>
        <v>0</v>
      </c>
    </row>
    <row r="24" spans="1:8" x14ac:dyDescent="0.25">
      <c r="A24" s="333"/>
      <c r="B24" s="340"/>
      <c r="C24" s="44"/>
      <c r="D24" s="78"/>
      <c r="E24" s="78"/>
      <c r="F24" s="78"/>
      <c r="G24" s="36"/>
      <c r="H24" s="56">
        <f t="shared" si="0"/>
        <v>0</v>
      </c>
    </row>
    <row r="25" spans="1:8" x14ac:dyDescent="0.25">
      <c r="A25" s="333"/>
      <c r="B25" s="340"/>
      <c r="C25" s="44"/>
      <c r="D25" s="78"/>
      <c r="E25" s="78"/>
      <c r="F25" s="78"/>
      <c r="G25" s="36"/>
      <c r="H25" s="56">
        <f t="shared" si="0"/>
        <v>0</v>
      </c>
    </row>
    <row r="26" spans="1:8" x14ac:dyDescent="0.25">
      <c r="A26" s="333"/>
      <c r="B26" s="340"/>
      <c r="C26" s="44"/>
      <c r="D26" s="78"/>
      <c r="E26" s="78"/>
      <c r="F26" s="78"/>
      <c r="G26" s="36"/>
      <c r="H26" s="56">
        <f t="shared" si="0"/>
        <v>0</v>
      </c>
    </row>
    <row r="27" spans="1:8" ht="15.75" thickBot="1" x14ac:dyDescent="0.3">
      <c r="A27" s="333"/>
      <c r="B27" s="340"/>
      <c r="C27" s="44"/>
      <c r="D27" s="78"/>
      <c r="E27" s="78"/>
      <c r="F27" s="78"/>
      <c r="G27" s="36"/>
      <c r="H27" s="56">
        <f>IF(F27=0,0,(2*E27)/(F27))</f>
        <v>0</v>
      </c>
    </row>
    <row r="28" spans="1:8" x14ac:dyDescent="0.25">
      <c r="A28" s="333"/>
      <c r="B28" s="340"/>
      <c r="C28" s="36" t="s">
        <v>474</v>
      </c>
      <c r="D28" s="53"/>
      <c r="E28" s="36"/>
      <c r="F28" s="36"/>
      <c r="G28" s="59">
        <f>COUNTIF(D30:D37,"nu")</f>
        <v>0</v>
      </c>
      <c r="H28" s="60">
        <f>SUMIF(D30:D37,"NU",H30:H37)</f>
        <v>0</v>
      </c>
    </row>
    <row r="29" spans="1:8" ht="15.75" thickBot="1" x14ac:dyDescent="0.3">
      <c r="A29" s="333"/>
      <c r="B29" s="340"/>
      <c r="C29" s="36" t="s">
        <v>476</v>
      </c>
      <c r="D29" s="53" t="s">
        <v>192</v>
      </c>
      <c r="E29" s="36" t="s">
        <v>81</v>
      </c>
      <c r="F29" s="36"/>
      <c r="G29" s="61">
        <f>COUNTIF(D30:D37,"da")</f>
        <v>0</v>
      </c>
      <c r="H29" s="62">
        <f>SUMIF(D30:D37,"DA",H30:H37)</f>
        <v>0</v>
      </c>
    </row>
    <row r="30" spans="1:8" x14ac:dyDescent="0.25">
      <c r="A30" s="333"/>
      <c r="B30" s="340"/>
      <c r="C30" s="44"/>
      <c r="D30" s="78"/>
      <c r="E30" s="78"/>
      <c r="F30" s="79"/>
      <c r="G30" s="36"/>
      <c r="H30" s="56">
        <f>E30*25/100</f>
        <v>0</v>
      </c>
    </row>
    <row r="31" spans="1:8" x14ac:dyDescent="0.25">
      <c r="A31" s="333"/>
      <c r="B31" s="340"/>
      <c r="C31" s="44"/>
      <c r="D31" s="78"/>
      <c r="E31" s="78"/>
      <c r="F31" s="79"/>
      <c r="G31" s="57"/>
      <c r="H31" s="56">
        <f t="shared" ref="H31:H37" si="1">E31*25/100</f>
        <v>0</v>
      </c>
    </row>
    <row r="32" spans="1:8" x14ac:dyDescent="0.25">
      <c r="A32" s="333"/>
      <c r="B32" s="340"/>
      <c r="C32" s="44"/>
      <c r="D32" s="78"/>
      <c r="E32" s="78"/>
      <c r="F32" s="79"/>
      <c r="G32" s="57"/>
      <c r="H32" s="56">
        <f t="shared" si="1"/>
        <v>0</v>
      </c>
    </row>
    <row r="33" spans="1:8" x14ac:dyDescent="0.25">
      <c r="A33" s="333"/>
      <c r="B33" s="340"/>
      <c r="C33" s="44"/>
      <c r="D33" s="78"/>
      <c r="E33" s="78"/>
      <c r="F33" s="79"/>
      <c r="G33" s="57"/>
      <c r="H33" s="56">
        <f t="shared" si="1"/>
        <v>0</v>
      </c>
    </row>
    <row r="34" spans="1:8" x14ac:dyDescent="0.25">
      <c r="A34" s="333"/>
      <c r="B34" s="340"/>
      <c r="C34" s="44"/>
      <c r="D34" s="78"/>
      <c r="E34" s="78"/>
      <c r="F34" s="79"/>
      <c r="G34" s="57"/>
      <c r="H34" s="56">
        <f t="shared" si="1"/>
        <v>0</v>
      </c>
    </row>
    <row r="35" spans="1:8" x14ac:dyDescent="0.25">
      <c r="A35" s="333"/>
      <c r="B35" s="340"/>
      <c r="C35" s="44"/>
      <c r="D35" s="78"/>
      <c r="E35" s="78"/>
      <c r="F35" s="79"/>
      <c r="G35" s="57"/>
      <c r="H35" s="56">
        <f t="shared" si="1"/>
        <v>0</v>
      </c>
    </row>
    <row r="36" spans="1:8" x14ac:dyDescent="0.25">
      <c r="A36" s="333"/>
      <c r="B36" s="340"/>
      <c r="C36" s="44"/>
      <c r="D36" s="78"/>
      <c r="E36" s="78"/>
      <c r="F36" s="79"/>
      <c r="G36" s="57"/>
      <c r="H36" s="56">
        <f t="shared" si="1"/>
        <v>0</v>
      </c>
    </row>
    <row r="37" spans="1:8" ht="15.75" thickBot="1" x14ac:dyDescent="0.3">
      <c r="A37" s="333"/>
      <c r="B37" s="341"/>
      <c r="C37" s="44"/>
      <c r="D37" s="78"/>
      <c r="E37" s="78"/>
      <c r="F37" s="79"/>
      <c r="G37" s="57"/>
      <c r="H37" s="56">
        <f t="shared" si="1"/>
        <v>0</v>
      </c>
    </row>
    <row r="38" spans="1:8" ht="15" customHeight="1" thickBot="1" x14ac:dyDescent="0.3">
      <c r="A38" s="333"/>
      <c r="B38" s="343" t="s">
        <v>7</v>
      </c>
      <c r="C38" s="36" t="s">
        <v>8</v>
      </c>
      <c r="D38" s="36"/>
      <c r="E38" s="36"/>
      <c r="F38" s="58"/>
      <c r="G38" s="37">
        <f>G39+G45</f>
        <v>0</v>
      </c>
      <c r="H38" s="75">
        <f>H39+H45+H51</f>
        <v>0</v>
      </c>
    </row>
    <row r="39" spans="1:8" x14ac:dyDescent="0.25">
      <c r="A39" s="333"/>
      <c r="B39" s="344"/>
      <c r="C39" s="36" t="s">
        <v>202</v>
      </c>
      <c r="D39" s="53"/>
      <c r="E39" s="36"/>
      <c r="F39" s="36"/>
      <c r="G39" s="59">
        <f>COUNTIF(D41:D44,"nu")</f>
        <v>0</v>
      </c>
      <c r="H39" s="60">
        <f>SUMIF(D41:D44,"NU",H41:H44)</f>
        <v>0</v>
      </c>
    </row>
    <row r="40" spans="1:8" ht="15.75" thickBot="1" x14ac:dyDescent="0.3">
      <c r="A40" s="333"/>
      <c r="B40" s="344"/>
      <c r="C40" s="36" t="s">
        <v>203</v>
      </c>
      <c r="D40" s="53" t="s">
        <v>192</v>
      </c>
      <c r="E40" s="36" t="s">
        <v>10</v>
      </c>
      <c r="F40" s="36"/>
      <c r="G40" s="61">
        <f>COUNTIF(D41:D44,"da")</f>
        <v>0</v>
      </c>
      <c r="H40" s="62">
        <f>SUMIF(D41:D44,"DA",H41:H44)</f>
        <v>0</v>
      </c>
    </row>
    <row r="41" spans="1:8" x14ac:dyDescent="0.25">
      <c r="A41" s="333"/>
      <c r="B41" s="344"/>
      <c r="C41" s="44"/>
      <c r="D41" s="78"/>
      <c r="E41" s="78"/>
      <c r="F41" s="36"/>
      <c r="G41" s="36"/>
      <c r="H41" s="56">
        <f>(4*E41)</f>
        <v>0</v>
      </c>
    </row>
    <row r="42" spans="1:8" x14ac:dyDescent="0.25">
      <c r="A42" s="333"/>
      <c r="B42" s="344"/>
      <c r="C42" s="44"/>
      <c r="D42" s="78"/>
      <c r="E42" s="78"/>
      <c r="F42" s="36"/>
      <c r="G42" s="36"/>
      <c r="H42" s="56">
        <f>(4*E42)</f>
        <v>0</v>
      </c>
    </row>
    <row r="43" spans="1:8" x14ac:dyDescent="0.25">
      <c r="A43" s="333"/>
      <c r="B43" s="344"/>
      <c r="C43" s="44"/>
      <c r="D43" s="78"/>
      <c r="E43" s="78"/>
      <c r="F43" s="36"/>
      <c r="G43" s="36"/>
      <c r="H43" s="56">
        <f>(4*E43)</f>
        <v>0</v>
      </c>
    </row>
    <row r="44" spans="1:8" ht="15.75" thickBot="1" x14ac:dyDescent="0.3">
      <c r="A44" s="333"/>
      <c r="B44" s="344"/>
      <c r="C44" s="44"/>
      <c r="D44" s="78"/>
      <c r="E44" s="78"/>
      <c r="F44" s="36"/>
      <c r="G44" s="36"/>
      <c r="H44" s="56">
        <f>(4*E44)</f>
        <v>0</v>
      </c>
    </row>
    <row r="45" spans="1:8" x14ac:dyDescent="0.25">
      <c r="A45" s="333"/>
      <c r="B45" s="344"/>
      <c r="C45" s="36" t="s">
        <v>204</v>
      </c>
      <c r="D45" s="53"/>
      <c r="E45" s="36"/>
      <c r="F45" s="36"/>
      <c r="G45" s="59">
        <f>COUNTIF(D47:D50,"nu")</f>
        <v>0</v>
      </c>
      <c r="H45" s="60">
        <f>SUMIF(D47:D50,"NU",H47:H50)</f>
        <v>0</v>
      </c>
    </row>
    <row r="46" spans="1:8" ht="15.75" thickBot="1" x14ac:dyDescent="0.3">
      <c r="A46" s="333"/>
      <c r="B46" s="344"/>
      <c r="C46" s="36" t="s">
        <v>205</v>
      </c>
      <c r="D46" s="53" t="s">
        <v>192</v>
      </c>
      <c r="E46" s="36" t="s">
        <v>10</v>
      </c>
      <c r="F46" s="36" t="s">
        <v>11</v>
      </c>
      <c r="G46" s="61">
        <f>COUNTIF(D47:D50,"da")</f>
        <v>0</v>
      </c>
      <c r="H46" s="62">
        <f>SUMIF(D47:D50,"DA",H47:H50)</f>
        <v>0</v>
      </c>
    </row>
    <row r="47" spans="1:8" x14ac:dyDescent="0.25">
      <c r="A47" s="333"/>
      <c r="B47" s="344"/>
      <c r="C47" s="44"/>
      <c r="D47" s="78"/>
      <c r="E47" s="78"/>
      <c r="F47" s="78"/>
      <c r="G47" s="36"/>
      <c r="H47" s="56">
        <f>IF(F47=0,0,(4*E47)/(F47))</f>
        <v>0</v>
      </c>
    </row>
    <row r="48" spans="1:8" x14ac:dyDescent="0.25">
      <c r="A48" s="333"/>
      <c r="B48" s="344"/>
      <c r="C48" s="44"/>
      <c r="D48" s="78"/>
      <c r="E48" s="78"/>
      <c r="F48" s="78"/>
      <c r="G48" s="36"/>
      <c r="H48" s="56">
        <f>IF(F48=0,0,(4*E48)/(F48))</f>
        <v>0</v>
      </c>
    </row>
    <row r="49" spans="1:8" x14ac:dyDescent="0.25">
      <c r="A49" s="333"/>
      <c r="B49" s="344"/>
      <c r="C49" s="44"/>
      <c r="D49" s="78"/>
      <c r="E49" s="78"/>
      <c r="F49" s="78"/>
      <c r="G49" s="36"/>
      <c r="H49" s="56">
        <f>IF(F49=0,0,(4*E49)/(F49))</f>
        <v>0</v>
      </c>
    </row>
    <row r="50" spans="1:8" ht="15.75" thickBot="1" x14ac:dyDescent="0.3">
      <c r="A50" s="333"/>
      <c r="B50" s="344"/>
      <c r="C50" s="44"/>
      <c r="D50" s="78"/>
      <c r="E50" s="78"/>
      <c r="F50" s="78"/>
      <c r="G50" s="36"/>
      <c r="H50" s="56">
        <f>IF(F50=0,0,(4*E50)/(F50))</f>
        <v>0</v>
      </c>
    </row>
    <row r="51" spans="1:8" x14ac:dyDescent="0.25">
      <c r="A51" s="333"/>
      <c r="B51" s="344"/>
      <c r="C51" s="36" t="s">
        <v>474</v>
      </c>
      <c r="D51" s="53"/>
      <c r="E51" s="36"/>
      <c r="F51" s="36"/>
      <c r="G51" s="59">
        <f>COUNTIF(D53:D56,"nu")</f>
        <v>0</v>
      </c>
      <c r="H51" s="60">
        <f>SUMIF(D53:D56,"NU",H53:H56)</f>
        <v>0</v>
      </c>
    </row>
    <row r="52" spans="1:8" ht="15.75" thickBot="1" x14ac:dyDescent="0.3">
      <c r="A52" s="333"/>
      <c r="B52" s="344"/>
      <c r="C52" s="36" t="s">
        <v>476</v>
      </c>
      <c r="D52" s="53" t="s">
        <v>192</v>
      </c>
      <c r="E52" s="36" t="s">
        <v>81</v>
      </c>
      <c r="F52" s="36"/>
      <c r="G52" s="61">
        <f>COUNTIF(D53:D56,"da")</f>
        <v>0</v>
      </c>
      <c r="H52" s="62">
        <f>SUMIF(D53:D56,"DA",H53:H56)</f>
        <v>0</v>
      </c>
    </row>
    <row r="53" spans="1:8" x14ac:dyDescent="0.25">
      <c r="A53" s="333"/>
      <c r="B53" s="344"/>
      <c r="C53" s="44"/>
      <c r="D53" s="78"/>
      <c r="E53" s="78"/>
      <c r="F53" s="36"/>
      <c r="G53" s="36"/>
      <c r="H53" s="56">
        <f>E53*25/100</f>
        <v>0</v>
      </c>
    </row>
    <row r="54" spans="1:8" x14ac:dyDescent="0.25">
      <c r="A54" s="333"/>
      <c r="B54" s="344"/>
      <c r="C54" s="44"/>
      <c r="D54" s="78"/>
      <c r="E54" s="78"/>
      <c r="F54" s="57"/>
      <c r="G54" s="57"/>
      <c r="H54" s="56">
        <f>E54*25/100</f>
        <v>0</v>
      </c>
    </row>
    <row r="55" spans="1:8" x14ac:dyDescent="0.25">
      <c r="A55" s="333"/>
      <c r="B55" s="344"/>
      <c r="C55" s="63"/>
      <c r="D55" s="80"/>
      <c r="E55" s="80"/>
      <c r="F55" s="57"/>
      <c r="G55" s="57"/>
      <c r="H55" s="56">
        <f>E55*25/100</f>
        <v>0</v>
      </c>
    </row>
    <row r="56" spans="1:8" ht="15.75" thickBot="1" x14ac:dyDescent="0.3">
      <c r="A56" s="342"/>
      <c r="B56" s="345"/>
      <c r="C56" s="63"/>
      <c r="D56" s="80"/>
      <c r="E56" s="80"/>
      <c r="F56" s="57"/>
      <c r="G56" s="57"/>
      <c r="H56" s="56">
        <f>E56*25/100</f>
        <v>0</v>
      </c>
    </row>
    <row r="57" spans="1:8" ht="15.75" thickBot="1" x14ac:dyDescent="0.3">
      <c r="A57" s="335" t="s">
        <v>14</v>
      </c>
      <c r="B57" s="37" t="s">
        <v>16</v>
      </c>
      <c r="C57" s="38"/>
      <c r="D57" s="38"/>
      <c r="E57" s="38"/>
      <c r="F57" s="38"/>
      <c r="G57" s="38">
        <f>G58+G64</f>
        <v>0</v>
      </c>
      <c r="H57" s="75">
        <f>H58+H64+H70</f>
        <v>0</v>
      </c>
    </row>
    <row r="58" spans="1:8" x14ac:dyDescent="0.25">
      <c r="A58" s="333"/>
      <c r="B58" s="336"/>
      <c r="C58" s="300" t="s">
        <v>428</v>
      </c>
      <c r="D58" s="53"/>
      <c r="E58" s="35"/>
      <c r="F58" s="35"/>
      <c r="G58" s="59">
        <f>COUNTIF(D60:D63,"nu")</f>
        <v>0</v>
      </c>
      <c r="H58" s="60">
        <f>SUMIF(D60:D63,"NU",H60:H63)</f>
        <v>0</v>
      </c>
    </row>
    <row r="59" spans="1:8" ht="15.75" thickBot="1" x14ac:dyDescent="0.3">
      <c r="A59" s="333"/>
      <c r="B59" s="336"/>
      <c r="C59" s="300" t="s">
        <v>429</v>
      </c>
      <c r="D59" s="53" t="s">
        <v>192</v>
      </c>
      <c r="E59" s="35" t="s">
        <v>10</v>
      </c>
      <c r="F59" s="35"/>
      <c r="G59" s="61">
        <f>COUNTIF(D60:D63,"da")</f>
        <v>0</v>
      </c>
      <c r="H59" s="62">
        <f>SUMIF(D60:D63,"DA",H60:H63)</f>
        <v>0</v>
      </c>
    </row>
    <row r="60" spans="1:8" x14ac:dyDescent="0.25">
      <c r="A60" s="333"/>
      <c r="B60" s="337"/>
      <c r="C60" s="301"/>
      <c r="D60" s="78"/>
      <c r="E60" s="78"/>
      <c r="F60" s="36"/>
      <c r="G60" s="36"/>
      <c r="H60" s="56">
        <f>(8*E60)</f>
        <v>0</v>
      </c>
    </row>
    <row r="61" spans="1:8" x14ac:dyDescent="0.25">
      <c r="A61" s="333"/>
      <c r="B61" s="337"/>
      <c r="C61" s="301"/>
      <c r="D61" s="78"/>
      <c r="E61" s="78"/>
      <c r="F61" s="36"/>
      <c r="G61" s="36"/>
      <c r="H61" s="56">
        <f t="shared" ref="H61:H63" si="2">(8*E61)</f>
        <v>0</v>
      </c>
    </row>
    <row r="62" spans="1:8" x14ac:dyDescent="0.25">
      <c r="A62" s="333"/>
      <c r="B62" s="337"/>
      <c r="C62" s="301"/>
      <c r="D62" s="78"/>
      <c r="E62" s="78"/>
      <c r="F62" s="36"/>
      <c r="G62" s="36"/>
      <c r="H62" s="56">
        <f t="shared" si="2"/>
        <v>0</v>
      </c>
    </row>
    <row r="63" spans="1:8" ht="15.75" thickBot="1" x14ac:dyDescent="0.3">
      <c r="A63" s="333"/>
      <c r="B63" s="337"/>
      <c r="C63" s="301"/>
      <c r="D63" s="78"/>
      <c r="E63" s="78"/>
      <c r="F63" s="36"/>
      <c r="G63" s="36"/>
      <c r="H63" s="56">
        <f t="shared" si="2"/>
        <v>0</v>
      </c>
    </row>
    <row r="64" spans="1:8" x14ac:dyDescent="0.25">
      <c r="A64" s="333"/>
      <c r="B64" s="337"/>
      <c r="C64" s="300" t="s">
        <v>430</v>
      </c>
      <c r="D64" s="53"/>
      <c r="E64" s="36"/>
      <c r="F64" s="36"/>
      <c r="G64" s="59">
        <f>COUNTIF(D66:D69,"nu")</f>
        <v>0</v>
      </c>
      <c r="H64" s="60">
        <f>SUMIF(D66:D69,"NU",H66:H69)</f>
        <v>0</v>
      </c>
    </row>
    <row r="65" spans="1:8" ht="15.75" thickBot="1" x14ac:dyDescent="0.3">
      <c r="A65" s="333"/>
      <c r="B65" s="337"/>
      <c r="C65" s="300" t="s">
        <v>431</v>
      </c>
      <c r="D65" s="53" t="s">
        <v>192</v>
      </c>
      <c r="E65" s="36" t="s">
        <v>10</v>
      </c>
      <c r="F65" s="36" t="s">
        <v>11</v>
      </c>
      <c r="G65" s="61">
        <f>COUNTIF(D66:D69,"da")</f>
        <v>0</v>
      </c>
      <c r="H65" s="62">
        <f>SUMIF(D66:D69,"DA",H66:H69)</f>
        <v>0</v>
      </c>
    </row>
    <row r="66" spans="1:8" x14ac:dyDescent="0.25">
      <c r="A66" s="333"/>
      <c r="B66" s="337"/>
      <c r="C66" s="44"/>
      <c r="D66" s="78"/>
      <c r="E66" s="78"/>
      <c r="F66" s="78"/>
      <c r="G66" s="36"/>
      <c r="H66" s="56">
        <f>IF(F66=0,0,(8*E66)/(F66))</f>
        <v>0</v>
      </c>
    </row>
    <row r="67" spans="1:8" x14ac:dyDescent="0.25">
      <c r="A67" s="333"/>
      <c r="B67" s="337"/>
      <c r="C67" s="44"/>
      <c r="D67" s="78"/>
      <c r="E67" s="78"/>
      <c r="F67" s="78"/>
      <c r="G67" s="36"/>
      <c r="H67" s="56">
        <f>IF(F67=0,0,(8*E67)/(F67))</f>
        <v>0</v>
      </c>
    </row>
    <row r="68" spans="1:8" x14ac:dyDescent="0.25">
      <c r="A68" s="333"/>
      <c r="B68" s="337"/>
      <c r="C68" s="44"/>
      <c r="D68" s="78"/>
      <c r="E68" s="78"/>
      <c r="F68" s="78"/>
      <c r="G68" s="36"/>
      <c r="H68" s="56">
        <f t="shared" ref="H68:H69" si="3">IF(F68=0,0,(8*E68)/(F68))</f>
        <v>0</v>
      </c>
    </row>
    <row r="69" spans="1:8" ht="15.75" thickBot="1" x14ac:dyDescent="0.3">
      <c r="A69" s="333"/>
      <c r="B69" s="337"/>
      <c r="C69" s="44"/>
      <c r="D69" s="78"/>
      <c r="E69" s="78"/>
      <c r="F69" s="78"/>
      <c r="G69" s="36"/>
      <c r="H69" s="56">
        <f t="shared" si="3"/>
        <v>0</v>
      </c>
    </row>
    <row r="70" spans="1:8" x14ac:dyDescent="0.25">
      <c r="A70" s="333"/>
      <c r="B70" s="337"/>
      <c r="C70" s="36" t="s">
        <v>477</v>
      </c>
      <c r="D70" s="53"/>
      <c r="E70" s="36"/>
      <c r="F70" s="36"/>
      <c r="G70" s="59">
        <f>COUNTIF(D72:D75,"nu")</f>
        <v>0</v>
      </c>
      <c r="H70" s="60">
        <f>SUMIF(D72:D75,"NU",H72:H75)</f>
        <v>0</v>
      </c>
    </row>
    <row r="71" spans="1:8" ht="15.75" thickBot="1" x14ac:dyDescent="0.3">
      <c r="A71" s="333"/>
      <c r="B71" s="337"/>
      <c r="C71" s="36" t="s">
        <v>478</v>
      </c>
      <c r="D71" s="53" t="s">
        <v>192</v>
      </c>
      <c r="E71" s="36" t="s">
        <v>81</v>
      </c>
      <c r="F71" s="36"/>
      <c r="G71" s="61">
        <f>COUNTIF(D72:D75,"da")</f>
        <v>0</v>
      </c>
      <c r="H71" s="62">
        <f>SUMIF(D72:D75,"DA",H72:H75)</f>
        <v>0</v>
      </c>
    </row>
    <row r="72" spans="1:8" x14ac:dyDescent="0.25">
      <c r="A72" s="333"/>
      <c r="B72" s="337"/>
      <c r="C72" s="44"/>
      <c r="D72" s="78"/>
      <c r="E72" s="78"/>
      <c r="F72" s="36"/>
      <c r="G72" s="36"/>
      <c r="H72" s="56">
        <f>E72*25/100</f>
        <v>0</v>
      </c>
    </row>
    <row r="73" spans="1:8" x14ac:dyDescent="0.25">
      <c r="A73" s="333"/>
      <c r="B73" s="338"/>
      <c r="C73" s="63"/>
      <c r="D73" s="80"/>
      <c r="E73" s="80"/>
      <c r="F73" s="57"/>
      <c r="G73" s="57"/>
      <c r="H73" s="56">
        <f>E73*25/100</f>
        <v>0</v>
      </c>
    </row>
    <row r="74" spans="1:8" x14ac:dyDescent="0.25">
      <c r="A74" s="333"/>
      <c r="B74" s="338"/>
      <c r="C74" s="63"/>
      <c r="D74" s="80"/>
      <c r="E74" s="80"/>
      <c r="F74" s="57"/>
      <c r="G74" s="57"/>
      <c r="H74" s="56">
        <f>E74*25/100</f>
        <v>0</v>
      </c>
    </row>
    <row r="75" spans="1:8" ht="15.75" thickBot="1" x14ac:dyDescent="0.3">
      <c r="A75" s="342"/>
      <c r="B75" s="338"/>
      <c r="C75" s="63"/>
      <c r="D75" s="80"/>
      <c r="E75" s="80"/>
      <c r="F75" s="57"/>
      <c r="G75" s="57"/>
      <c r="H75" s="56">
        <f>E75*25/100</f>
        <v>0</v>
      </c>
    </row>
    <row r="76" spans="1:8" ht="15.75" thickBot="1" x14ac:dyDescent="0.3">
      <c r="A76" s="335" t="s">
        <v>17</v>
      </c>
      <c r="B76" s="37" t="s">
        <v>18</v>
      </c>
      <c r="C76" s="38"/>
      <c r="D76" s="38"/>
      <c r="E76" s="38"/>
      <c r="F76" s="38"/>
      <c r="G76" s="38">
        <f>G77+G106</f>
        <v>0</v>
      </c>
      <c r="H76" s="75">
        <f>H77+H106</f>
        <v>0</v>
      </c>
    </row>
    <row r="77" spans="1:8" ht="15.75" thickBot="1" x14ac:dyDescent="0.3">
      <c r="A77" s="333"/>
      <c r="B77" s="339" t="s">
        <v>19</v>
      </c>
      <c r="C77" s="35" t="s">
        <v>20</v>
      </c>
      <c r="D77" s="35"/>
      <c r="E77" s="35"/>
      <c r="F77" s="49"/>
      <c r="G77" s="37">
        <f>G78+G84</f>
        <v>0</v>
      </c>
      <c r="H77" s="75">
        <f>H78+H84+H95</f>
        <v>0</v>
      </c>
    </row>
    <row r="78" spans="1:8" x14ac:dyDescent="0.25">
      <c r="A78" s="333"/>
      <c r="B78" s="340"/>
      <c r="C78" s="36" t="s">
        <v>206</v>
      </c>
      <c r="D78" s="53"/>
      <c r="E78" s="36"/>
      <c r="F78" s="36"/>
      <c r="G78" s="59">
        <f>COUNTIF(D80:D83,"nu")</f>
        <v>0</v>
      </c>
      <c r="H78" s="60">
        <f>SUMIF(D80:D83,"NU",H80:H83)</f>
        <v>0</v>
      </c>
    </row>
    <row r="79" spans="1:8" ht="15.75" thickBot="1" x14ac:dyDescent="0.3">
      <c r="A79" s="333"/>
      <c r="B79" s="340"/>
      <c r="C79" s="36" t="s">
        <v>207</v>
      </c>
      <c r="D79" s="53" t="s">
        <v>192</v>
      </c>
      <c r="E79" s="36" t="s">
        <v>10</v>
      </c>
      <c r="F79" s="36"/>
      <c r="G79" s="61">
        <f>COUNTIF(D80:D83,"da")</f>
        <v>0</v>
      </c>
      <c r="H79" s="62">
        <f>SUMIF(D80:D83,"DA",H80:H83)</f>
        <v>0</v>
      </c>
    </row>
    <row r="80" spans="1:8" x14ac:dyDescent="0.25">
      <c r="A80" s="333"/>
      <c r="B80" s="340"/>
      <c r="C80" s="44"/>
      <c r="D80" s="78"/>
      <c r="E80" s="78"/>
      <c r="F80" s="36"/>
      <c r="G80" s="36"/>
      <c r="H80" s="56">
        <f>(0.6*E80)</f>
        <v>0</v>
      </c>
    </row>
    <row r="81" spans="1:8" x14ac:dyDescent="0.25">
      <c r="A81" s="333"/>
      <c r="B81" s="340"/>
      <c r="C81" s="44"/>
      <c r="D81" s="78"/>
      <c r="E81" s="78"/>
      <c r="F81" s="36"/>
      <c r="G81" s="36"/>
      <c r="H81" s="56">
        <f>(0.6*E81)</f>
        <v>0</v>
      </c>
    </row>
    <row r="82" spans="1:8" x14ac:dyDescent="0.25">
      <c r="A82" s="333"/>
      <c r="B82" s="340"/>
      <c r="C82" s="44"/>
      <c r="D82" s="78"/>
      <c r="E82" s="78"/>
      <c r="F82" s="36"/>
      <c r="G82" s="36"/>
      <c r="H82" s="56">
        <f>(0.6*E82)</f>
        <v>0</v>
      </c>
    </row>
    <row r="83" spans="1:8" ht="15.75" thickBot="1" x14ac:dyDescent="0.3">
      <c r="A83" s="333"/>
      <c r="B83" s="340"/>
      <c r="C83" s="44"/>
      <c r="D83" s="78"/>
      <c r="E83" s="78"/>
      <c r="F83" s="36"/>
      <c r="G83" s="36"/>
      <c r="H83" s="56">
        <f>(0.6*E83)</f>
        <v>0</v>
      </c>
    </row>
    <row r="84" spans="1:8" x14ac:dyDescent="0.25">
      <c r="A84" s="333"/>
      <c r="B84" s="340"/>
      <c r="C84" s="36" t="s">
        <v>208</v>
      </c>
      <c r="D84" s="53"/>
      <c r="E84" s="36"/>
      <c r="F84" s="36"/>
      <c r="G84" s="59">
        <f>COUNTIF(D86:D94,"nu")</f>
        <v>0</v>
      </c>
      <c r="H84" s="60">
        <f>SUMIF(D86:D94,"NU",H86:H94)</f>
        <v>0</v>
      </c>
    </row>
    <row r="85" spans="1:8" ht="15.75" thickBot="1" x14ac:dyDescent="0.3">
      <c r="A85" s="333"/>
      <c r="B85" s="340"/>
      <c r="C85" s="36" t="s">
        <v>209</v>
      </c>
      <c r="D85" s="53" t="s">
        <v>192</v>
      </c>
      <c r="E85" s="36" t="s">
        <v>10</v>
      </c>
      <c r="F85" s="36" t="s">
        <v>11</v>
      </c>
      <c r="G85" s="61">
        <f>COUNTIF(D86:D94,"da")</f>
        <v>0</v>
      </c>
      <c r="H85" s="62">
        <f>SUMIF(D86:D94,"DA",H86:H94)</f>
        <v>0</v>
      </c>
    </row>
    <row r="86" spans="1:8" x14ac:dyDescent="0.25">
      <c r="A86" s="333"/>
      <c r="B86" s="340"/>
      <c r="C86" s="44"/>
      <c r="D86" s="78"/>
      <c r="E86" s="78"/>
      <c r="F86" s="78"/>
      <c r="G86" s="36"/>
      <c r="H86" s="56">
        <f>IF(F86=0,0,(0.6*E86)/(F86))</f>
        <v>0</v>
      </c>
    </row>
    <row r="87" spans="1:8" x14ac:dyDescent="0.25">
      <c r="A87" s="333"/>
      <c r="B87" s="340"/>
      <c r="C87" s="44"/>
      <c r="D87" s="78"/>
      <c r="E87" s="78"/>
      <c r="F87" s="78"/>
      <c r="G87" s="36"/>
      <c r="H87" s="56">
        <f t="shared" ref="H87:H92" si="4">IF(F87=0,0,(0.6*E87)/(F87))</f>
        <v>0</v>
      </c>
    </row>
    <row r="88" spans="1:8" x14ac:dyDescent="0.25">
      <c r="A88" s="333"/>
      <c r="B88" s="340"/>
      <c r="C88" s="44"/>
      <c r="D88" s="78"/>
      <c r="E88" s="78"/>
      <c r="F88" s="78"/>
      <c r="G88" s="36"/>
      <c r="H88" s="56">
        <f t="shared" si="4"/>
        <v>0</v>
      </c>
    </row>
    <row r="89" spans="1:8" x14ac:dyDescent="0.25">
      <c r="A89" s="333"/>
      <c r="B89" s="340"/>
      <c r="C89" s="44"/>
      <c r="D89" s="78"/>
      <c r="E89" s="78"/>
      <c r="F89" s="78"/>
      <c r="G89" s="36"/>
      <c r="H89" s="56">
        <f>IF(F89=0,0,(0.6*E89)/(F89))</f>
        <v>0</v>
      </c>
    </row>
    <row r="90" spans="1:8" x14ac:dyDescent="0.25">
      <c r="A90" s="333"/>
      <c r="B90" s="340"/>
      <c r="C90" s="44"/>
      <c r="D90" s="78"/>
      <c r="E90" s="78"/>
      <c r="F90" s="78"/>
      <c r="G90" s="36"/>
      <c r="H90" s="56">
        <f t="shared" si="4"/>
        <v>0</v>
      </c>
    </row>
    <row r="91" spans="1:8" x14ac:dyDescent="0.25">
      <c r="A91" s="333"/>
      <c r="B91" s="340"/>
      <c r="C91" s="44"/>
      <c r="D91" s="78"/>
      <c r="E91" s="78"/>
      <c r="F91" s="78"/>
      <c r="G91" s="36"/>
      <c r="H91" s="56">
        <f t="shared" si="4"/>
        <v>0</v>
      </c>
    </row>
    <row r="92" spans="1:8" x14ac:dyDescent="0.25">
      <c r="A92" s="333"/>
      <c r="B92" s="340"/>
      <c r="C92" s="44"/>
      <c r="D92" s="78"/>
      <c r="E92" s="78"/>
      <c r="F92" s="78"/>
      <c r="G92" s="36"/>
      <c r="H92" s="56">
        <f t="shared" si="4"/>
        <v>0</v>
      </c>
    </row>
    <row r="93" spans="1:8" x14ac:dyDescent="0.25">
      <c r="A93" s="333"/>
      <c r="B93" s="340"/>
      <c r="C93" s="44"/>
      <c r="D93" s="78"/>
      <c r="E93" s="78"/>
      <c r="F93" s="78"/>
      <c r="G93" s="36"/>
      <c r="H93" s="56">
        <f>IF(F93=0,0,(0.6*E93)/(F93))</f>
        <v>0</v>
      </c>
    </row>
    <row r="94" spans="1:8" ht="15.75" thickBot="1" x14ac:dyDescent="0.3">
      <c r="A94" s="333"/>
      <c r="B94" s="340"/>
      <c r="C94" s="44"/>
      <c r="D94" s="78"/>
      <c r="E94" s="78"/>
      <c r="F94" s="78"/>
      <c r="G94" s="36"/>
      <c r="H94" s="56">
        <f>IF(F94=0,0,(0.6*E94)/(F94))</f>
        <v>0</v>
      </c>
    </row>
    <row r="95" spans="1:8" x14ac:dyDescent="0.25">
      <c r="A95" s="333"/>
      <c r="B95" s="340"/>
      <c r="C95" s="36" t="s">
        <v>477</v>
      </c>
      <c r="D95" s="53"/>
      <c r="E95" s="36"/>
      <c r="F95" s="36"/>
      <c r="G95" s="59">
        <f>COUNTIF(D97:D105,"nu")</f>
        <v>0</v>
      </c>
      <c r="H95" s="60">
        <f>SUMIF(D97:D105,"NU",H97:H105)</f>
        <v>0</v>
      </c>
    </row>
    <row r="96" spans="1:8" ht="15.75" thickBot="1" x14ac:dyDescent="0.3">
      <c r="A96" s="333"/>
      <c r="B96" s="340"/>
      <c r="C96" s="36" t="s">
        <v>478</v>
      </c>
      <c r="D96" s="53" t="s">
        <v>192</v>
      </c>
      <c r="E96" s="36" t="s">
        <v>81</v>
      </c>
      <c r="F96" s="36"/>
      <c r="G96" s="61">
        <f>COUNTIF(D97:D105,"da")</f>
        <v>0</v>
      </c>
      <c r="H96" s="62">
        <f>SUMIF(D97:D105,"DA",H97:H105)</f>
        <v>0</v>
      </c>
    </row>
    <row r="97" spans="1:8" x14ac:dyDescent="0.25">
      <c r="A97" s="333"/>
      <c r="B97" s="340"/>
      <c r="C97" s="44"/>
      <c r="D97" s="78"/>
      <c r="E97" s="78"/>
      <c r="F97" s="36"/>
      <c r="G97" s="36"/>
      <c r="H97" s="56">
        <f>E97*25/100</f>
        <v>0</v>
      </c>
    </row>
    <row r="98" spans="1:8" x14ac:dyDescent="0.25">
      <c r="A98" s="333"/>
      <c r="B98" s="340"/>
      <c r="C98" s="44"/>
      <c r="D98" s="78"/>
      <c r="E98" s="78"/>
      <c r="F98" s="36"/>
      <c r="G98" s="57"/>
      <c r="H98" s="56">
        <f t="shared" ref="H98:H103" si="5">E98*25/100</f>
        <v>0</v>
      </c>
    </row>
    <row r="99" spans="1:8" x14ac:dyDescent="0.25">
      <c r="A99" s="333"/>
      <c r="B99" s="340"/>
      <c r="C99" s="44"/>
      <c r="D99" s="78"/>
      <c r="E99" s="78"/>
      <c r="F99" s="36"/>
      <c r="G99" s="57"/>
      <c r="H99" s="56">
        <f t="shared" si="5"/>
        <v>0</v>
      </c>
    </row>
    <row r="100" spans="1:8" x14ac:dyDescent="0.25">
      <c r="A100" s="333"/>
      <c r="B100" s="340"/>
      <c r="C100" s="44"/>
      <c r="D100" s="78"/>
      <c r="E100" s="78"/>
      <c r="F100" s="36"/>
      <c r="G100" s="57"/>
      <c r="H100" s="56">
        <f t="shared" si="5"/>
        <v>0</v>
      </c>
    </row>
    <row r="101" spans="1:8" x14ac:dyDescent="0.25">
      <c r="A101" s="333"/>
      <c r="B101" s="340"/>
      <c r="C101" s="44"/>
      <c r="D101" s="78"/>
      <c r="E101" s="78"/>
      <c r="F101" s="36"/>
      <c r="G101" s="57"/>
      <c r="H101" s="56">
        <f t="shared" si="5"/>
        <v>0</v>
      </c>
    </row>
    <row r="102" spans="1:8" x14ac:dyDescent="0.25">
      <c r="A102" s="333"/>
      <c r="B102" s="340"/>
      <c r="C102" s="44"/>
      <c r="D102" s="78"/>
      <c r="E102" s="78"/>
      <c r="F102" s="36"/>
      <c r="G102" s="57"/>
      <c r="H102" s="56">
        <f t="shared" si="5"/>
        <v>0</v>
      </c>
    </row>
    <row r="103" spans="1:8" x14ac:dyDescent="0.25">
      <c r="A103" s="333"/>
      <c r="B103" s="340"/>
      <c r="C103" s="44"/>
      <c r="D103" s="78"/>
      <c r="E103" s="78"/>
      <c r="F103" s="36"/>
      <c r="G103" s="57"/>
      <c r="H103" s="56">
        <f t="shared" si="5"/>
        <v>0</v>
      </c>
    </row>
    <row r="104" spans="1:8" x14ac:dyDescent="0.25">
      <c r="A104" s="333"/>
      <c r="B104" s="340"/>
      <c r="C104" s="44"/>
      <c r="D104" s="78"/>
      <c r="E104" s="78"/>
      <c r="F104" s="36"/>
      <c r="G104" s="57"/>
      <c r="H104" s="56">
        <f>E104*25/100</f>
        <v>0</v>
      </c>
    </row>
    <row r="105" spans="1:8" ht="15.75" thickBot="1" x14ac:dyDescent="0.3">
      <c r="A105" s="333"/>
      <c r="B105" s="341"/>
      <c r="C105" s="44"/>
      <c r="D105" s="78"/>
      <c r="E105" s="78"/>
      <c r="F105" s="36"/>
      <c r="G105" s="57"/>
      <c r="H105" s="56">
        <f>E105*25/100</f>
        <v>0</v>
      </c>
    </row>
    <row r="106" spans="1:8" ht="15.75" thickBot="1" x14ac:dyDescent="0.3">
      <c r="A106" s="333"/>
      <c r="B106" s="343" t="s">
        <v>21</v>
      </c>
      <c r="C106" s="36" t="s">
        <v>22</v>
      </c>
      <c r="D106" s="36"/>
      <c r="E106" s="36"/>
      <c r="F106" s="58"/>
      <c r="G106" s="37">
        <f>G107+G113</f>
        <v>0</v>
      </c>
      <c r="H106" s="75">
        <f>H107+H113+H119</f>
        <v>0</v>
      </c>
    </row>
    <row r="107" spans="1:8" x14ac:dyDescent="0.25">
      <c r="A107" s="333"/>
      <c r="B107" s="344"/>
      <c r="C107" s="36" t="s">
        <v>210</v>
      </c>
      <c r="D107" s="53"/>
      <c r="E107" s="36"/>
      <c r="F107" s="36"/>
      <c r="G107" s="59">
        <f>COUNTIF(D109:D112,"nu")</f>
        <v>0</v>
      </c>
      <c r="H107" s="60">
        <f>SUMIF(D109:D112,"NU",H109:H112)</f>
        <v>0</v>
      </c>
    </row>
    <row r="108" spans="1:8" ht="15.75" thickBot="1" x14ac:dyDescent="0.3">
      <c r="A108" s="333"/>
      <c r="B108" s="344"/>
      <c r="C108" s="36" t="s">
        <v>211</v>
      </c>
      <c r="D108" s="53" t="s">
        <v>192</v>
      </c>
      <c r="E108" s="36" t="s">
        <v>10</v>
      </c>
      <c r="F108" s="36"/>
      <c r="G108" s="61">
        <f>COUNTIF(D109:D112,"da")</f>
        <v>0</v>
      </c>
      <c r="H108" s="62">
        <f>SUMIF(D109:D112,"DA",H109:H112)</f>
        <v>0</v>
      </c>
    </row>
    <row r="109" spans="1:8" x14ac:dyDescent="0.25">
      <c r="A109" s="333"/>
      <c r="B109" s="344"/>
      <c r="C109" s="44"/>
      <c r="D109" s="78"/>
      <c r="E109" s="78"/>
      <c r="F109" s="36"/>
      <c r="G109" s="36"/>
      <c r="H109" s="56">
        <f>(0.8*E109)</f>
        <v>0</v>
      </c>
    </row>
    <row r="110" spans="1:8" x14ac:dyDescent="0.25">
      <c r="A110" s="333"/>
      <c r="B110" s="344"/>
      <c r="C110" s="44"/>
      <c r="D110" s="78"/>
      <c r="E110" s="78"/>
      <c r="F110" s="36"/>
      <c r="G110" s="36"/>
      <c r="H110" s="56">
        <f>(0.8*E110)</f>
        <v>0</v>
      </c>
    </row>
    <row r="111" spans="1:8" x14ac:dyDescent="0.25">
      <c r="A111" s="333"/>
      <c r="B111" s="344"/>
      <c r="C111" s="44"/>
      <c r="D111" s="78"/>
      <c r="E111" s="78"/>
      <c r="F111" s="36"/>
      <c r="G111" s="36"/>
      <c r="H111" s="56">
        <f>(0.8*E111)</f>
        <v>0</v>
      </c>
    </row>
    <row r="112" spans="1:8" ht="15.75" thickBot="1" x14ac:dyDescent="0.3">
      <c r="A112" s="333"/>
      <c r="B112" s="344"/>
      <c r="C112" s="44"/>
      <c r="D112" s="78"/>
      <c r="E112" s="78"/>
      <c r="F112" s="36"/>
      <c r="G112" s="36"/>
      <c r="H112" s="56">
        <f>(0.8*E112)</f>
        <v>0</v>
      </c>
    </row>
    <row r="113" spans="1:8" x14ac:dyDescent="0.25">
      <c r="A113" s="333"/>
      <c r="B113" s="344"/>
      <c r="C113" s="36" t="s">
        <v>212</v>
      </c>
      <c r="D113" s="53"/>
      <c r="E113" s="36"/>
      <c r="F113" s="36"/>
      <c r="G113" s="59">
        <f>COUNTIF(D115:D118,"nu")</f>
        <v>0</v>
      </c>
      <c r="H113" s="60">
        <f>SUMIF(D115:D118,"NU",H115:H118)</f>
        <v>0</v>
      </c>
    </row>
    <row r="114" spans="1:8" ht="15.75" thickBot="1" x14ac:dyDescent="0.3">
      <c r="A114" s="333"/>
      <c r="B114" s="344"/>
      <c r="C114" s="36" t="s">
        <v>213</v>
      </c>
      <c r="D114" s="53" t="s">
        <v>192</v>
      </c>
      <c r="E114" s="36" t="s">
        <v>10</v>
      </c>
      <c r="F114" s="36" t="s">
        <v>11</v>
      </c>
      <c r="G114" s="61">
        <f>COUNTIF(D115:D118,"da")</f>
        <v>0</v>
      </c>
      <c r="H114" s="62">
        <f>SUMIF(D115:D118,"DA",H115:H118)</f>
        <v>0</v>
      </c>
    </row>
    <row r="115" spans="1:8" x14ac:dyDescent="0.25">
      <c r="A115" s="333"/>
      <c r="B115" s="344"/>
      <c r="C115" s="44"/>
      <c r="D115" s="78"/>
      <c r="E115" s="78"/>
      <c r="F115" s="78"/>
      <c r="G115" s="36"/>
      <c r="H115" s="56">
        <f>IF(F115=0,0,(0.8*E115)/(F115))</f>
        <v>0</v>
      </c>
    </row>
    <row r="116" spans="1:8" x14ac:dyDescent="0.25">
      <c r="A116" s="333"/>
      <c r="B116" s="344"/>
      <c r="C116" s="44"/>
      <c r="D116" s="78"/>
      <c r="E116" s="78"/>
      <c r="F116" s="78"/>
      <c r="G116" s="36"/>
      <c r="H116" s="56">
        <f>IF(F116=0,0,(0.8*E116)/(F116))</f>
        <v>0</v>
      </c>
    </row>
    <row r="117" spans="1:8" x14ac:dyDescent="0.25">
      <c r="A117" s="333"/>
      <c r="B117" s="344"/>
      <c r="C117" s="44"/>
      <c r="D117" s="78"/>
      <c r="E117" s="78"/>
      <c r="F117" s="78"/>
      <c r="G117" s="36"/>
      <c r="H117" s="56">
        <f>IF(F117=0,0,(0.8*E117)/(F117))</f>
        <v>0</v>
      </c>
    </row>
    <row r="118" spans="1:8" ht="15.75" thickBot="1" x14ac:dyDescent="0.3">
      <c r="A118" s="333"/>
      <c r="B118" s="344"/>
      <c r="C118" s="44"/>
      <c r="D118" s="78"/>
      <c r="E118" s="78"/>
      <c r="F118" s="78"/>
      <c r="G118" s="36"/>
      <c r="H118" s="56">
        <f>IF(F118=0,0,(0.8*E118)/(F118))</f>
        <v>0</v>
      </c>
    </row>
    <row r="119" spans="1:8" x14ac:dyDescent="0.25">
      <c r="A119" s="333"/>
      <c r="B119" s="344"/>
      <c r="C119" s="36" t="s">
        <v>474</v>
      </c>
      <c r="D119" s="53"/>
      <c r="E119" s="36"/>
      <c r="F119" s="36"/>
      <c r="G119" s="59">
        <f>COUNTIF(D121:D124,"nu")</f>
        <v>0</v>
      </c>
      <c r="H119" s="60">
        <f>SUMIF(D121:D124,"NU",H121:H124)</f>
        <v>0</v>
      </c>
    </row>
    <row r="120" spans="1:8" ht="15.75" thickBot="1" x14ac:dyDescent="0.3">
      <c r="A120" s="333"/>
      <c r="B120" s="344"/>
      <c r="C120" s="36" t="s">
        <v>476</v>
      </c>
      <c r="D120" s="53" t="s">
        <v>192</v>
      </c>
      <c r="E120" s="36" t="s">
        <v>81</v>
      </c>
      <c r="F120" s="36"/>
      <c r="G120" s="61">
        <f>COUNTIF(D121:D124,"da")</f>
        <v>0</v>
      </c>
      <c r="H120" s="62">
        <f>SUMIF(D121:D124,"DA",H121:H124)</f>
        <v>0</v>
      </c>
    </row>
    <row r="121" spans="1:8" x14ac:dyDescent="0.25">
      <c r="A121" s="333"/>
      <c r="B121" s="344"/>
      <c r="C121" s="44"/>
      <c r="D121" s="78"/>
      <c r="E121" s="78"/>
      <c r="F121" s="36"/>
      <c r="G121" s="36"/>
      <c r="H121" s="56">
        <f>E121*25/100</f>
        <v>0</v>
      </c>
    </row>
    <row r="122" spans="1:8" x14ac:dyDescent="0.25">
      <c r="A122" s="333"/>
      <c r="B122" s="344"/>
      <c r="C122" s="63"/>
      <c r="D122" s="80"/>
      <c r="E122" s="80"/>
      <c r="F122" s="57"/>
      <c r="G122" s="57"/>
      <c r="H122" s="56">
        <f>E122*25/100</f>
        <v>0</v>
      </c>
    </row>
    <row r="123" spans="1:8" x14ac:dyDescent="0.25">
      <c r="A123" s="333"/>
      <c r="B123" s="344"/>
      <c r="C123" s="63"/>
      <c r="D123" s="80"/>
      <c r="E123" s="80"/>
      <c r="F123" s="57"/>
      <c r="G123" s="57"/>
      <c r="H123" s="56">
        <f>E123*25/100</f>
        <v>0</v>
      </c>
    </row>
    <row r="124" spans="1:8" ht="15.75" thickBot="1" x14ac:dyDescent="0.3">
      <c r="A124" s="334"/>
      <c r="B124" s="345"/>
      <c r="C124" s="63"/>
      <c r="D124" s="80"/>
      <c r="E124" s="80"/>
      <c r="F124" s="57"/>
      <c r="G124" s="57"/>
      <c r="H124" s="56">
        <f>E124*25/100</f>
        <v>0</v>
      </c>
    </row>
    <row r="125" spans="1:8" ht="32.25" customHeight="1" thickBot="1" x14ac:dyDescent="0.3">
      <c r="A125" s="324" t="s">
        <v>375</v>
      </c>
      <c r="B125" s="325"/>
      <c r="C125" s="325"/>
      <c r="D125" s="325"/>
      <c r="E125" s="326"/>
      <c r="F125" s="64"/>
      <c r="G125" s="64"/>
      <c r="H125" s="165">
        <f>IF(G3&lt;=10,H9+H57+H76,(H9+H57+H76)/($G$3-5)*5)</f>
        <v>0</v>
      </c>
    </row>
    <row r="126" spans="1:8" ht="15.75" thickBot="1" x14ac:dyDescent="0.3">
      <c r="A126" s="332" t="s">
        <v>23</v>
      </c>
      <c r="B126" s="50" t="s">
        <v>24</v>
      </c>
      <c r="C126" s="274" t="s">
        <v>221</v>
      </c>
      <c r="D126" s="65"/>
      <c r="E126" s="65"/>
      <c r="F126" s="65"/>
      <c r="G126" s="105">
        <f>G127+G136+G140</f>
        <v>0</v>
      </c>
      <c r="H126" s="86">
        <f>H127+H136+H140</f>
        <v>0</v>
      </c>
    </row>
    <row r="127" spans="1:8" ht="15.75" customHeight="1" thickBot="1" x14ac:dyDescent="0.3">
      <c r="A127" s="333"/>
      <c r="B127" s="339" t="s">
        <v>25</v>
      </c>
      <c r="C127" s="24" t="s">
        <v>26</v>
      </c>
      <c r="D127" s="35"/>
      <c r="E127" s="35"/>
      <c r="F127" s="49"/>
      <c r="G127" s="100">
        <f>G128+G132</f>
        <v>0</v>
      </c>
      <c r="H127" s="75">
        <f>H128+H132</f>
        <v>0</v>
      </c>
    </row>
    <row r="128" spans="1:8" ht="15.75" thickBot="1" x14ac:dyDescent="0.3">
      <c r="A128" s="333"/>
      <c r="B128" s="340"/>
      <c r="C128" s="39" t="s">
        <v>27</v>
      </c>
      <c r="D128" s="25"/>
      <c r="E128" s="36"/>
      <c r="F128" s="58"/>
      <c r="G128" s="102">
        <f>G129+G130</f>
        <v>0</v>
      </c>
      <c r="H128" s="54">
        <f>H129+H130+H131</f>
        <v>0</v>
      </c>
    </row>
    <row r="129" spans="1:8" x14ac:dyDescent="0.25">
      <c r="A129" s="333"/>
      <c r="B129" s="340"/>
      <c r="C129" s="36" t="s">
        <v>198</v>
      </c>
      <c r="D129" s="36"/>
      <c r="E129" s="36"/>
      <c r="F129" s="58"/>
      <c r="G129" s="56">
        <f>G12</f>
        <v>0</v>
      </c>
      <c r="H129" s="56">
        <f>H12</f>
        <v>0</v>
      </c>
    </row>
    <row r="130" spans="1:8" x14ac:dyDescent="0.25">
      <c r="A130" s="333"/>
      <c r="B130" s="340"/>
      <c r="C130" s="81" t="s">
        <v>200</v>
      </c>
      <c r="D130" s="36"/>
      <c r="E130" s="36"/>
      <c r="F130" s="58"/>
      <c r="G130" s="67">
        <f>G18</f>
        <v>0</v>
      </c>
      <c r="H130" s="67">
        <f>H18</f>
        <v>0</v>
      </c>
    </row>
    <row r="131" spans="1:8" ht="15.75" thickBot="1" x14ac:dyDescent="0.3">
      <c r="A131" s="333"/>
      <c r="B131" s="340"/>
      <c r="C131" s="36" t="s">
        <v>474</v>
      </c>
      <c r="D131" s="36"/>
      <c r="E131" s="36"/>
      <c r="F131" s="58"/>
      <c r="G131" s="66">
        <f>G29</f>
        <v>0</v>
      </c>
      <c r="H131" s="66">
        <f>H29</f>
        <v>0</v>
      </c>
    </row>
    <row r="132" spans="1:8" ht="15.75" thickBot="1" x14ac:dyDescent="0.3">
      <c r="A132" s="333"/>
      <c r="B132" s="340"/>
      <c r="C132" s="39" t="s">
        <v>28</v>
      </c>
      <c r="D132" s="36"/>
      <c r="E132" s="36"/>
      <c r="F132" s="58"/>
      <c r="G132" s="101">
        <f>G133+G134</f>
        <v>0</v>
      </c>
      <c r="H132" s="54">
        <f>H133+H134+H135</f>
        <v>0</v>
      </c>
    </row>
    <row r="133" spans="1:8" x14ac:dyDescent="0.25">
      <c r="A133" s="333"/>
      <c r="B133" s="340"/>
      <c r="C133" s="36" t="s">
        <v>214</v>
      </c>
      <c r="D133" s="36"/>
      <c r="E133" s="36"/>
      <c r="F133" s="58"/>
      <c r="G133" s="56">
        <f>G40</f>
        <v>0</v>
      </c>
      <c r="H133" s="56">
        <f>H40</f>
        <v>0</v>
      </c>
    </row>
    <row r="134" spans="1:8" x14ac:dyDescent="0.25">
      <c r="A134" s="333"/>
      <c r="B134" s="340"/>
      <c r="C134" s="36" t="s">
        <v>215</v>
      </c>
      <c r="D134" s="36"/>
      <c r="E134" s="36"/>
      <c r="F134" s="58"/>
      <c r="G134" s="67">
        <f>G46</f>
        <v>0</v>
      </c>
      <c r="H134" s="67">
        <f>H46</f>
        <v>0</v>
      </c>
    </row>
    <row r="135" spans="1:8" ht="15.75" thickBot="1" x14ac:dyDescent="0.3">
      <c r="A135" s="333"/>
      <c r="B135" s="340"/>
      <c r="C135" s="36" t="s">
        <v>474</v>
      </c>
      <c r="D135" s="36"/>
      <c r="E135" s="36"/>
      <c r="F135" s="58"/>
      <c r="G135" s="66">
        <f>G52</f>
        <v>0</v>
      </c>
      <c r="H135" s="66">
        <f>H52</f>
        <v>0</v>
      </c>
    </row>
    <row r="136" spans="1:8" ht="15.75" thickBot="1" x14ac:dyDescent="0.3">
      <c r="A136" s="333"/>
      <c r="B136" s="340" t="s">
        <v>29</v>
      </c>
      <c r="C136" s="39" t="s">
        <v>30</v>
      </c>
      <c r="D136" s="36"/>
      <c r="E136" s="36"/>
      <c r="F136" s="58"/>
      <c r="G136" s="100">
        <f>G137+G138</f>
        <v>0</v>
      </c>
      <c r="H136" s="75">
        <f>H137+H138+H139</f>
        <v>0</v>
      </c>
    </row>
    <row r="137" spans="1:8" x14ac:dyDescent="0.25">
      <c r="A137" s="333"/>
      <c r="B137" s="340"/>
      <c r="C137" s="36" t="s">
        <v>479</v>
      </c>
      <c r="D137" s="25"/>
      <c r="E137" s="36"/>
      <c r="F137" s="58"/>
      <c r="G137" s="56">
        <f>G59</f>
        <v>0</v>
      </c>
      <c r="H137" s="56">
        <f>H59</f>
        <v>0</v>
      </c>
    </row>
    <row r="138" spans="1:8" x14ac:dyDescent="0.25">
      <c r="A138" s="333"/>
      <c r="B138" s="340"/>
      <c r="C138" s="36" t="s">
        <v>480</v>
      </c>
      <c r="D138" s="36"/>
      <c r="E138" s="36"/>
      <c r="F138" s="58"/>
      <c r="G138" s="67">
        <f>G65</f>
        <v>0</v>
      </c>
      <c r="H138" s="67">
        <f>H65</f>
        <v>0</v>
      </c>
    </row>
    <row r="139" spans="1:8" ht="15.75" thickBot="1" x14ac:dyDescent="0.3">
      <c r="A139" s="333"/>
      <c r="B139" s="340"/>
      <c r="C139" s="36" t="s">
        <v>477</v>
      </c>
      <c r="D139" s="36"/>
      <c r="E139" s="36"/>
      <c r="F139" s="58"/>
      <c r="G139" s="66">
        <f>G71</f>
        <v>0</v>
      </c>
      <c r="H139" s="66">
        <f>H71</f>
        <v>0</v>
      </c>
    </row>
    <row r="140" spans="1:8" ht="15.75" thickBot="1" x14ac:dyDescent="0.3">
      <c r="A140" s="333"/>
      <c r="B140" s="340" t="s">
        <v>220</v>
      </c>
      <c r="C140" s="39" t="s">
        <v>216</v>
      </c>
      <c r="D140" s="36"/>
      <c r="E140" s="36"/>
      <c r="F140" s="58"/>
      <c r="G140" s="100">
        <f>G141+G145</f>
        <v>0</v>
      </c>
      <c r="H140" s="75">
        <f>H141+H145</f>
        <v>0</v>
      </c>
    </row>
    <row r="141" spans="1:8" ht="15.75" thickBot="1" x14ac:dyDescent="0.3">
      <c r="A141" s="333"/>
      <c r="B141" s="340"/>
      <c r="C141" s="39" t="s">
        <v>217</v>
      </c>
      <c r="D141" s="36"/>
      <c r="E141" s="36"/>
      <c r="F141" s="58"/>
      <c r="G141" s="102">
        <f>G142+G143</f>
        <v>0</v>
      </c>
      <c r="H141" s="54">
        <f>H142+H143+H144</f>
        <v>0</v>
      </c>
    </row>
    <row r="142" spans="1:8" x14ac:dyDescent="0.25">
      <c r="A142" s="333"/>
      <c r="B142" s="340"/>
      <c r="C142" s="36" t="s">
        <v>206</v>
      </c>
      <c r="D142" s="36"/>
      <c r="E142" s="36"/>
      <c r="F142" s="58"/>
      <c r="G142" s="56">
        <f>G79</f>
        <v>0</v>
      </c>
      <c r="H142" s="56">
        <f>H79</f>
        <v>0</v>
      </c>
    </row>
    <row r="143" spans="1:8" x14ac:dyDescent="0.25">
      <c r="A143" s="333"/>
      <c r="B143" s="340"/>
      <c r="C143" s="81" t="s">
        <v>208</v>
      </c>
      <c r="D143" s="36"/>
      <c r="E143" s="36"/>
      <c r="F143" s="58"/>
      <c r="G143" s="67">
        <f>G85</f>
        <v>0</v>
      </c>
      <c r="H143" s="67">
        <f>H85</f>
        <v>0</v>
      </c>
    </row>
    <row r="144" spans="1:8" ht="15.75" thickBot="1" x14ac:dyDescent="0.3">
      <c r="A144" s="333"/>
      <c r="B144" s="340"/>
      <c r="C144" s="36" t="s">
        <v>477</v>
      </c>
      <c r="D144" s="36"/>
      <c r="E144" s="36"/>
      <c r="F144" s="58"/>
      <c r="G144" s="66">
        <f>G96</f>
        <v>0</v>
      </c>
      <c r="H144" s="66">
        <f>H96</f>
        <v>0</v>
      </c>
    </row>
    <row r="145" spans="1:8" ht="15.75" thickBot="1" x14ac:dyDescent="0.3">
      <c r="A145" s="333"/>
      <c r="B145" s="340"/>
      <c r="C145" s="39" t="s">
        <v>219</v>
      </c>
      <c r="D145" s="36"/>
      <c r="E145" s="36"/>
      <c r="F145" s="58"/>
      <c r="G145" s="101">
        <f>G146+G147</f>
        <v>0</v>
      </c>
      <c r="H145" s="54">
        <f>H146+H147+H148</f>
        <v>0</v>
      </c>
    </row>
    <row r="146" spans="1:8" x14ac:dyDescent="0.25">
      <c r="A146" s="333"/>
      <c r="B146" s="340"/>
      <c r="C146" s="36" t="s">
        <v>210</v>
      </c>
      <c r="D146" s="36"/>
      <c r="E146" s="36"/>
      <c r="F146" s="58"/>
      <c r="G146" s="56">
        <f>G108</f>
        <v>0</v>
      </c>
      <c r="H146" s="56">
        <f>H108</f>
        <v>0</v>
      </c>
    </row>
    <row r="147" spans="1:8" ht="15.75" customHeight="1" x14ac:dyDescent="0.25">
      <c r="A147" s="333"/>
      <c r="B147" s="340"/>
      <c r="C147" s="36" t="s">
        <v>218</v>
      </c>
      <c r="D147" s="36"/>
      <c r="E147" s="36"/>
      <c r="F147" s="58"/>
      <c r="G147" s="67">
        <f>G114</f>
        <v>0</v>
      </c>
      <c r="H147" s="67">
        <f>H114</f>
        <v>0</v>
      </c>
    </row>
    <row r="148" spans="1:8" ht="15.75" thickBot="1" x14ac:dyDescent="0.3">
      <c r="A148" s="334"/>
      <c r="B148" s="340"/>
      <c r="C148" s="36" t="s">
        <v>474</v>
      </c>
      <c r="D148" s="36"/>
      <c r="E148" s="36"/>
      <c r="F148" s="58"/>
      <c r="G148" s="66">
        <f>G120</f>
        <v>0</v>
      </c>
      <c r="H148" s="66">
        <f>H120</f>
        <v>0</v>
      </c>
    </row>
    <row r="149" spans="1:8" ht="19.5" thickBot="1" x14ac:dyDescent="0.35">
      <c r="A149" s="108" t="s">
        <v>31</v>
      </c>
      <c r="B149" s="64"/>
      <c r="C149" s="64"/>
      <c r="D149" s="64"/>
      <c r="E149" s="64"/>
      <c r="F149" s="64"/>
      <c r="G149" s="64"/>
      <c r="H149" s="109">
        <f>H203+H204</f>
        <v>0</v>
      </c>
    </row>
    <row r="150" spans="1:8" ht="15.75" thickBot="1" x14ac:dyDescent="0.3">
      <c r="A150" s="332" t="s">
        <v>32</v>
      </c>
      <c r="B150" s="50" t="s">
        <v>34</v>
      </c>
      <c r="C150" s="65"/>
      <c r="D150" s="65"/>
      <c r="E150" s="65"/>
      <c r="F150" s="65"/>
      <c r="G150" s="65">
        <f>G151+G157</f>
        <v>0</v>
      </c>
      <c r="H150" s="86">
        <f>H151+H157+H166</f>
        <v>0</v>
      </c>
    </row>
    <row r="151" spans="1:8" x14ac:dyDescent="0.25">
      <c r="A151" s="333"/>
      <c r="B151" s="336"/>
      <c r="C151" s="36" t="s">
        <v>210</v>
      </c>
      <c r="D151" s="53"/>
      <c r="E151" s="35"/>
      <c r="F151" s="35"/>
      <c r="G151" s="59">
        <f>COUNTIF(D153:D156,"nu")</f>
        <v>0</v>
      </c>
      <c r="H151" s="60">
        <f>SUMIF(D153:D156,"NU",H153:H156)</f>
        <v>0</v>
      </c>
    </row>
    <row r="152" spans="1:8" ht="15.75" thickBot="1" x14ac:dyDescent="0.3">
      <c r="A152" s="333"/>
      <c r="B152" s="336"/>
      <c r="C152" s="36" t="s">
        <v>211</v>
      </c>
      <c r="D152" s="53" t="s">
        <v>192</v>
      </c>
      <c r="E152" s="35" t="s">
        <v>10</v>
      </c>
      <c r="F152" s="35"/>
      <c r="G152" s="61">
        <f>COUNTIF(D153:D156,"da")</f>
        <v>0</v>
      </c>
      <c r="H152" s="62">
        <f>SUMIF(D153:D156,"DA",H153:H156)</f>
        <v>0</v>
      </c>
    </row>
    <row r="153" spans="1:8" x14ac:dyDescent="0.25">
      <c r="A153" s="333"/>
      <c r="B153" s="337"/>
      <c r="C153" s="44"/>
      <c r="D153" s="78"/>
      <c r="E153" s="78"/>
      <c r="F153" s="36"/>
      <c r="G153" s="36"/>
      <c r="H153" s="56">
        <f>(0.8*E153)</f>
        <v>0</v>
      </c>
    </row>
    <row r="154" spans="1:8" x14ac:dyDescent="0.25">
      <c r="A154" s="333"/>
      <c r="B154" s="337"/>
      <c r="C154" s="44"/>
      <c r="D154" s="78"/>
      <c r="E154" s="78"/>
      <c r="F154" s="36"/>
      <c r="G154" s="36"/>
      <c r="H154" s="56">
        <f>(0.8*E154)</f>
        <v>0</v>
      </c>
    </row>
    <row r="155" spans="1:8" x14ac:dyDescent="0.25">
      <c r="A155" s="333"/>
      <c r="B155" s="337"/>
      <c r="C155" s="44"/>
      <c r="D155" s="78"/>
      <c r="E155" s="78"/>
      <c r="F155" s="36"/>
      <c r="G155" s="36"/>
      <c r="H155" s="56">
        <f>(0.8*E155)</f>
        <v>0</v>
      </c>
    </row>
    <row r="156" spans="1:8" ht="15.75" thickBot="1" x14ac:dyDescent="0.3">
      <c r="A156" s="333"/>
      <c r="B156" s="337"/>
      <c r="C156" s="44"/>
      <c r="D156" s="78"/>
      <c r="E156" s="78"/>
      <c r="F156" s="36"/>
      <c r="G156" s="36"/>
      <c r="H156" s="56">
        <f>(0.8*E156)</f>
        <v>0</v>
      </c>
    </row>
    <row r="157" spans="1:8" x14ac:dyDescent="0.25">
      <c r="A157" s="333"/>
      <c r="B157" s="337"/>
      <c r="C157" s="36" t="s">
        <v>212</v>
      </c>
      <c r="D157" s="53"/>
      <c r="E157" s="36"/>
      <c r="F157" s="36"/>
      <c r="G157" s="59">
        <f>COUNTIF(D159:D165,"nu")</f>
        <v>0</v>
      </c>
      <c r="H157" s="60">
        <f>SUMIF(D159:D165,"NU",H159:H165)</f>
        <v>0</v>
      </c>
    </row>
    <row r="158" spans="1:8" ht="15.75" thickBot="1" x14ac:dyDescent="0.3">
      <c r="A158" s="333"/>
      <c r="B158" s="337"/>
      <c r="C158" s="36" t="s">
        <v>213</v>
      </c>
      <c r="D158" s="53" t="s">
        <v>192</v>
      </c>
      <c r="E158" s="36" t="s">
        <v>10</v>
      </c>
      <c r="F158" s="36" t="s">
        <v>11</v>
      </c>
      <c r="G158" s="61">
        <f>COUNTIF(D159:D165,"da")</f>
        <v>0</v>
      </c>
      <c r="H158" s="62">
        <f>SUMIF(D159:D165,"DA",H159:H165)</f>
        <v>0</v>
      </c>
    </row>
    <row r="159" spans="1:8" x14ac:dyDescent="0.25">
      <c r="A159" s="333"/>
      <c r="B159" s="337"/>
      <c r="C159" s="44"/>
      <c r="D159" s="78"/>
      <c r="E159" s="78"/>
      <c r="F159" s="78"/>
      <c r="G159" s="36"/>
      <c r="H159" s="56">
        <f t="shared" ref="H159:H165" si="6">IF(F159=0,0,(0.8*E159)/(F159))</f>
        <v>0</v>
      </c>
    </row>
    <row r="160" spans="1:8" x14ac:dyDescent="0.25">
      <c r="A160" s="333"/>
      <c r="B160" s="337"/>
      <c r="C160" s="44"/>
      <c r="D160" s="78"/>
      <c r="E160" s="78"/>
      <c r="F160" s="78"/>
      <c r="G160" s="36"/>
      <c r="H160" s="56">
        <f t="shared" si="6"/>
        <v>0</v>
      </c>
    </row>
    <row r="161" spans="1:8" x14ac:dyDescent="0.25">
      <c r="A161" s="333"/>
      <c r="B161" s="337"/>
      <c r="C161" s="44"/>
      <c r="D161" s="78"/>
      <c r="E161" s="78"/>
      <c r="F161" s="78"/>
      <c r="G161" s="36"/>
      <c r="H161" s="56">
        <f>IF(F161=0,0,(0.8*E161)/(F161))</f>
        <v>0</v>
      </c>
    </row>
    <row r="162" spans="1:8" x14ac:dyDescent="0.25">
      <c r="A162" s="333"/>
      <c r="B162" s="337"/>
      <c r="C162" s="44"/>
      <c r="D162" s="78"/>
      <c r="E162" s="78"/>
      <c r="F162" s="78"/>
      <c r="G162" s="36"/>
      <c r="H162" s="56">
        <f t="shared" si="6"/>
        <v>0</v>
      </c>
    </row>
    <row r="163" spans="1:8" x14ac:dyDescent="0.25">
      <c r="A163" s="333"/>
      <c r="B163" s="337"/>
      <c r="C163" s="44"/>
      <c r="D163" s="78"/>
      <c r="E163" s="78"/>
      <c r="F163" s="78"/>
      <c r="G163" s="36"/>
      <c r="H163" s="56">
        <f t="shared" si="6"/>
        <v>0</v>
      </c>
    </row>
    <row r="164" spans="1:8" x14ac:dyDescent="0.25">
      <c r="A164" s="333"/>
      <c r="B164" s="337"/>
      <c r="C164" s="44"/>
      <c r="D164" s="78"/>
      <c r="E164" s="78"/>
      <c r="F164" s="78"/>
      <c r="G164" s="36"/>
      <c r="H164" s="56">
        <f t="shared" si="6"/>
        <v>0</v>
      </c>
    </row>
    <row r="165" spans="1:8" ht="15.75" thickBot="1" x14ac:dyDescent="0.3">
      <c r="A165" s="333"/>
      <c r="B165" s="337"/>
      <c r="C165" s="44"/>
      <c r="D165" s="78"/>
      <c r="E165" s="78"/>
      <c r="F165" s="78"/>
      <c r="G165" s="36"/>
      <c r="H165" s="56">
        <f t="shared" si="6"/>
        <v>0</v>
      </c>
    </row>
    <row r="166" spans="1:8" x14ac:dyDescent="0.25">
      <c r="A166" s="333"/>
      <c r="B166" s="337"/>
      <c r="C166" s="36" t="s">
        <v>477</v>
      </c>
      <c r="D166" s="53"/>
      <c r="E166" s="36"/>
      <c r="F166" s="36"/>
      <c r="G166" s="59">
        <f>COUNTIF(D168:D175,"nu")</f>
        <v>0</v>
      </c>
      <c r="H166" s="60">
        <f>SUMIF(D168:D175,"NU",H168:H175)</f>
        <v>0</v>
      </c>
    </row>
    <row r="167" spans="1:8" ht="15.75" thickBot="1" x14ac:dyDescent="0.3">
      <c r="A167" s="333"/>
      <c r="B167" s="337"/>
      <c r="C167" s="36" t="s">
        <v>478</v>
      </c>
      <c r="D167" s="53" t="s">
        <v>192</v>
      </c>
      <c r="E167" s="36" t="s">
        <v>81</v>
      </c>
      <c r="F167" s="36"/>
      <c r="G167" s="61">
        <f>COUNTIF(D168:D175,"da")</f>
        <v>0</v>
      </c>
      <c r="H167" s="62">
        <f>SUMIF(D168:D175,"DA",H168:H175)</f>
        <v>0</v>
      </c>
    </row>
    <row r="168" spans="1:8" x14ac:dyDescent="0.25">
      <c r="A168" s="333"/>
      <c r="B168" s="337"/>
      <c r="C168" s="44"/>
      <c r="D168" s="78"/>
      <c r="E168" s="78"/>
      <c r="F168" s="36"/>
      <c r="G168" s="36"/>
      <c r="H168" s="56">
        <f t="shared" ref="H168:H175" si="7">E168*25/100</f>
        <v>0</v>
      </c>
    </row>
    <row r="169" spans="1:8" x14ac:dyDescent="0.25">
      <c r="A169" s="333"/>
      <c r="B169" s="338"/>
      <c r="C169" s="63"/>
      <c r="D169" s="80"/>
      <c r="E169" s="80"/>
      <c r="F169" s="57"/>
      <c r="G169" s="57"/>
      <c r="H169" s="56">
        <f t="shared" si="7"/>
        <v>0</v>
      </c>
    </row>
    <row r="170" spans="1:8" x14ac:dyDescent="0.25">
      <c r="A170" s="333"/>
      <c r="B170" s="338"/>
      <c r="C170" s="63"/>
      <c r="D170" s="80"/>
      <c r="E170" s="80"/>
      <c r="F170" s="57"/>
      <c r="G170" s="57"/>
      <c r="H170" s="56">
        <f t="shared" si="7"/>
        <v>0</v>
      </c>
    </row>
    <row r="171" spans="1:8" x14ac:dyDescent="0.25">
      <c r="A171" s="333"/>
      <c r="B171" s="338"/>
      <c r="C171" s="63"/>
      <c r="D171" s="80"/>
      <c r="E171" s="80"/>
      <c r="F171" s="57"/>
      <c r="G171" s="57"/>
      <c r="H171" s="56">
        <f t="shared" si="7"/>
        <v>0</v>
      </c>
    </row>
    <row r="172" spans="1:8" x14ac:dyDescent="0.25">
      <c r="A172" s="333"/>
      <c r="B172" s="338"/>
      <c r="C172" s="63"/>
      <c r="D172" s="80"/>
      <c r="E172" s="80"/>
      <c r="F172" s="57"/>
      <c r="G172" s="57"/>
      <c r="H172" s="56">
        <f t="shared" si="7"/>
        <v>0</v>
      </c>
    </row>
    <row r="173" spans="1:8" x14ac:dyDescent="0.25">
      <c r="A173" s="333"/>
      <c r="B173" s="338"/>
      <c r="C173" s="63"/>
      <c r="D173" s="80"/>
      <c r="E173" s="80"/>
      <c r="F173" s="57"/>
      <c r="G173" s="57"/>
      <c r="H173" s="56">
        <f t="shared" si="7"/>
        <v>0</v>
      </c>
    </row>
    <row r="174" spans="1:8" x14ac:dyDescent="0.25">
      <c r="A174" s="333"/>
      <c r="B174" s="338"/>
      <c r="C174" s="63"/>
      <c r="D174" s="80"/>
      <c r="E174" s="80"/>
      <c r="F174" s="57"/>
      <c r="G174" s="57"/>
      <c r="H174" s="56">
        <f t="shared" si="7"/>
        <v>0</v>
      </c>
    </row>
    <row r="175" spans="1:8" ht="15.75" thickBot="1" x14ac:dyDescent="0.3">
      <c r="A175" s="342"/>
      <c r="B175" s="338"/>
      <c r="C175" s="63"/>
      <c r="D175" s="80"/>
      <c r="E175" s="80"/>
      <c r="F175" s="57"/>
      <c r="G175" s="57"/>
      <c r="H175" s="56">
        <f t="shared" si="7"/>
        <v>0</v>
      </c>
    </row>
    <row r="176" spans="1:8" ht="15.75" thickBot="1" x14ac:dyDescent="0.3">
      <c r="A176" s="335" t="s">
        <v>33</v>
      </c>
      <c r="B176" s="37" t="s">
        <v>35</v>
      </c>
      <c r="C176" s="38"/>
      <c r="D176" s="38"/>
      <c r="E176" s="38"/>
      <c r="F176" s="38"/>
      <c r="G176" s="38">
        <f>G177+G183</f>
        <v>0</v>
      </c>
      <c r="H176" s="75">
        <f>H177+H183+H193</f>
        <v>0</v>
      </c>
    </row>
    <row r="177" spans="1:8" x14ac:dyDescent="0.25">
      <c r="A177" s="333"/>
      <c r="B177" s="336"/>
      <c r="C177" s="36" t="s">
        <v>222</v>
      </c>
      <c r="D177" s="53"/>
      <c r="E177" s="35"/>
      <c r="F177" s="35"/>
      <c r="G177" s="59">
        <f>COUNTIF(D179:D182,"nu")</f>
        <v>0</v>
      </c>
      <c r="H177" s="60">
        <f>SUMIF(D179:D182,"NU",H179:H182)</f>
        <v>0</v>
      </c>
    </row>
    <row r="178" spans="1:8" ht="15.75" thickBot="1" x14ac:dyDescent="0.3">
      <c r="A178" s="333"/>
      <c r="B178" s="336"/>
      <c r="C178" s="36" t="s">
        <v>223</v>
      </c>
      <c r="D178" s="53" t="s">
        <v>192</v>
      </c>
      <c r="E178" s="35" t="s">
        <v>10</v>
      </c>
      <c r="F178" s="35"/>
      <c r="G178" s="61">
        <f>COUNTIF(D179:D182,"da")</f>
        <v>0</v>
      </c>
      <c r="H178" s="62">
        <f>SUMIF(D179:D182,"DA",H179:H182)</f>
        <v>0</v>
      </c>
    </row>
    <row r="179" spans="1:8" x14ac:dyDescent="0.25">
      <c r="A179" s="333"/>
      <c r="B179" s="337"/>
      <c r="C179" s="44"/>
      <c r="D179" s="78"/>
      <c r="E179" s="78"/>
      <c r="F179" s="36"/>
      <c r="G179" s="36"/>
      <c r="H179" s="56">
        <f>(0.4*E179)</f>
        <v>0</v>
      </c>
    </row>
    <row r="180" spans="1:8" x14ac:dyDescent="0.25">
      <c r="A180" s="333"/>
      <c r="B180" s="337"/>
      <c r="C180" s="44"/>
      <c r="D180" s="78"/>
      <c r="E180" s="78"/>
      <c r="F180" s="36"/>
      <c r="G180" s="36"/>
      <c r="H180" s="56">
        <f>(0.4*E180)</f>
        <v>0</v>
      </c>
    </row>
    <row r="181" spans="1:8" x14ac:dyDescent="0.25">
      <c r="A181" s="333"/>
      <c r="B181" s="337"/>
      <c r="C181" s="44"/>
      <c r="D181" s="78"/>
      <c r="E181" s="78"/>
      <c r="F181" s="36"/>
      <c r="G181" s="36"/>
      <c r="H181" s="56">
        <f>(0.4*E181)</f>
        <v>0</v>
      </c>
    </row>
    <row r="182" spans="1:8" ht="15.75" thickBot="1" x14ac:dyDescent="0.3">
      <c r="A182" s="333"/>
      <c r="B182" s="337"/>
      <c r="C182" s="44"/>
      <c r="D182" s="78"/>
      <c r="E182" s="78"/>
      <c r="F182" s="36"/>
      <c r="G182" s="36"/>
      <c r="H182" s="56">
        <f>(0.4*E182)</f>
        <v>0</v>
      </c>
    </row>
    <row r="183" spans="1:8" x14ac:dyDescent="0.25">
      <c r="A183" s="333"/>
      <c r="B183" s="337"/>
      <c r="C183" s="36" t="s">
        <v>224</v>
      </c>
      <c r="D183" s="53"/>
      <c r="E183" s="36"/>
      <c r="F183" s="36"/>
      <c r="G183" s="59">
        <f>COUNTIF(D185:D192,"nu")</f>
        <v>0</v>
      </c>
      <c r="H183" s="60">
        <f>SUMIF(D185:D192,"NU",H185:H192)</f>
        <v>0</v>
      </c>
    </row>
    <row r="184" spans="1:8" ht="15.75" thickBot="1" x14ac:dyDescent="0.3">
      <c r="A184" s="333"/>
      <c r="B184" s="337"/>
      <c r="C184" s="36" t="s">
        <v>225</v>
      </c>
      <c r="D184" s="53" t="s">
        <v>192</v>
      </c>
      <c r="E184" s="36" t="s">
        <v>10</v>
      </c>
      <c r="F184" s="36" t="s">
        <v>11</v>
      </c>
      <c r="G184" s="61">
        <f>COUNTIF(D185:D192,"da")</f>
        <v>0</v>
      </c>
      <c r="H184" s="62">
        <f>SUMIF(D185:D192,"DA",H185:H192)</f>
        <v>0</v>
      </c>
    </row>
    <row r="185" spans="1:8" x14ac:dyDescent="0.25">
      <c r="A185" s="333"/>
      <c r="B185" s="337"/>
      <c r="C185" s="44"/>
      <c r="D185" s="78"/>
      <c r="E185" s="78"/>
      <c r="F185" s="78"/>
      <c r="G185" s="36"/>
      <c r="H185" s="56">
        <f t="shared" ref="H185:H192" si="8">IF(F185=0,0,(0.4*E185)/(F185))</f>
        <v>0</v>
      </c>
    </row>
    <row r="186" spans="1:8" x14ac:dyDescent="0.25">
      <c r="A186" s="333"/>
      <c r="B186" s="337"/>
      <c r="C186" s="44"/>
      <c r="D186" s="78"/>
      <c r="E186" s="78"/>
      <c r="F186" s="78"/>
      <c r="G186" s="36"/>
      <c r="H186" s="56">
        <f t="shared" si="8"/>
        <v>0</v>
      </c>
    </row>
    <row r="187" spans="1:8" x14ac:dyDescent="0.25">
      <c r="A187" s="333"/>
      <c r="B187" s="337"/>
      <c r="C187" s="44"/>
      <c r="D187" s="78"/>
      <c r="E187" s="78"/>
      <c r="F187" s="78"/>
      <c r="G187" s="36"/>
      <c r="H187" s="56">
        <f t="shared" si="8"/>
        <v>0</v>
      </c>
    </row>
    <row r="188" spans="1:8" x14ac:dyDescent="0.25">
      <c r="A188" s="333"/>
      <c r="B188" s="337"/>
      <c r="C188" s="44"/>
      <c r="D188" s="78"/>
      <c r="E188" s="78"/>
      <c r="F188" s="78"/>
      <c r="G188" s="36"/>
      <c r="H188" s="56">
        <f t="shared" si="8"/>
        <v>0</v>
      </c>
    </row>
    <row r="189" spans="1:8" x14ac:dyDescent="0.25">
      <c r="A189" s="333"/>
      <c r="B189" s="337"/>
      <c r="C189" s="44"/>
      <c r="D189" s="78"/>
      <c r="E189" s="78"/>
      <c r="F189" s="78"/>
      <c r="G189" s="36"/>
      <c r="H189" s="56">
        <f t="shared" si="8"/>
        <v>0</v>
      </c>
    </row>
    <row r="190" spans="1:8" x14ac:dyDescent="0.25">
      <c r="A190" s="333"/>
      <c r="B190" s="337"/>
      <c r="C190" s="44"/>
      <c r="D190" s="78"/>
      <c r="E190" s="78"/>
      <c r="F190" s="78"/>
      <c r="G190" s="36"/>
      <c r="H190" s="56">
        <f t="shared" si="8"/>
        <v>0</v>
      </c>
    </row>
    <row r="191" spans="1:8" x14ac:dyDescent="0.25">
      <c r="A191" s="333"/>
      <c r="B191" s="337"/>
      <c r="C191" s="44"/>
      <c r="D191" s="78"/>
      <c r="E191" s="78"/>
      <c r="F191" s="78"/>
      <c r="G191" s="36"/>
      <c r="H191" s="56">
        <f t="shared" si="8"/>
        <v>0</v>
      </c>
    </row>
    <row r="192" spans="1:8" ht="15.75" thickBot="1" x14ac:dyDescent="0.3">
      <c r="A192" s="333"/>
      <c r="B192" s="337"/>
      <c r="C192" s="44"/>
      <c r="D192" s="78"/>
      <c r="E192" s="78"/>
      <c r="F192" s="78"/>
      <c r="G192" s="36"/>
      <c r="H192" s="56">
        <f t="shared" si="8"/>
        <v>0</v>
      </c>
    </row>
    <row r="193" spans="1:8" x14ac:dyDescent="0.25">
      <c r="A193" s="333"/>
      <c r="B193" s="337"/>
      <c r="C193" s="36" t="s">
        <v>477</v>
      </c>
      <c r="D193" s="53"/>
      <c r="E193" s="36"/>
      <c r="F193" s="36"/>
      <c r="G193" s="59">
        <f>COUNTIF(D195:D202,"nu")</f>
        <v>0</v>
      </c>
      <c r="H193" s="60">
        <f>SUMIF(D195:D202,"NU",H195:H202)</f>
        <v>0</v>
      </c>
    </row>
    <row r="194" spans="1:8" ht="15.75" thickBot="1" x14ac:dyDescent="0.3">
      <c r="A194" s="333"/>
      <c r="B194" s="337"/>
      <c r="C194" s="36" t="s">
        <v>478</v>
      </c>
      <c r="D194" s="53" t="s">
        <v>192</v>
      </c>
      <c r="E194" s="36" t="s">
        <v>81</v>
      </c>
      <c r="F194" s="36"/>
      <c r="G194" s="61">
        <f>COUNTIF(D195:D202,"da")</f>
        <v>0</v>
      </c>
      <c r="H194" s="62">
        <f>SUMIF(D195:D202,"DA",H195:H202)</f>
        <v>0</v>
      </c>
    </row>
    <row r="195" spans="1:8" x14ac:dyDescent="0.25">
      <c r="A195" s="333"/>
      <c r="B195" s="337"/>
      <c r="C195" s="44"/>
      <c r="D195" s="78"/>
      <c r="E195" s="78"/>
      <c r="F195" s="36"/>
      <c r="G195" s="36"/>
      <c r="H195" s="56">
        <f>E195*25/100</f>
        <v>0</v>
      </c>
    </row>
    <row r="196" spans="1:8" x14ac:dyDescent="0.25">
      <c r="A196" s="333"/>
      <c r="B196" s="338"/>
      <c r="C196" s="63"/>
      <c r="D196" s="80"/>
      <c r="E196" s="80"/>
      <c r="F196" s="57"/>
      <c r="G196" s="57"/>
      <c r="H196" s="56">
        <f t="shared" ref="H196:H201" si="9">E196*25/100</f>
        <v>0</v>
      </c>
    </row>
    <row r="197" spans="1:8" x14ac:dyDescent="0.25">
      <c r="A197" s="333"/>
      <c r="B197" s="338"/>
      <c r="C197" s="63"/>
      <c r="D197" s="80"/>
      <c r="E197" s="80"/>
      <c r="F197" s="57"/>
      <c r="G197" s="57"/>
      <c r="H197" s="56">
        <f t="shared" si="9"/>
        <v>0</v>
      </c>
    </row>
    <row r="198" spans="1:8" x14ac:dyDescent="0.25">
      <c r="A198" s="333"/>
      <c r="B198" s="338"/>
      <c r="C198" s="63"/>
      <c r="D198" s="80"/>
      <c r="E198" s="80"/>
      <c r="F198" s="57"/>
      <c r="G198" s="57"/>
      <c r="H198" s="56">
        <f t="shared" si="9"/>
        <v>0</v>
      </c>
    </row>
    <row r="199" spans="1:8" x14ac:dyDescent="0.25">
      <c r="A199" s="333"/>
      <c r="B199" s="338"/>
      <c r="C199" s="63"/>
      <c r="D199" s="80"/>
      <c r="E199" s="80"/>
      <c r="F199" s="57"/>
      <c r="G199" s="57"/>
      <c r="H199" s="56">
        <f t="shared" si="9"/>
        <v>0</v>
      </c>
    </row>
    <row r="200" spans="1:8" x14ac:dyDescent="0.25">
      <c r="A200" s="333"/>
      <c r="B200" s="338"/>
      <c r="C200" s="63"/>
      <c r="D200" s="80"/>
      <c r="E200" s="80"/>
      <c r="F200" s="57"/>
      <c r="G200" s="57"/>
      <c r="H200" s="56">
        <f t="shared" si="9"/>
        <v>0</v>
      </c>
    </row>
    <row r="201" spans="1:8" x14ac:dyDescent="0.25">
      <c r="A201" s="333"/>
      <c r="B201" s="338"/>
      <c r="C201" s="63"/>
      <c r="D201" s="80"/>
      <c r="E201" s="80"/>
      <c r="F201" s="57"/>
      <c r="G201" s="57"/>
      <c r="H201" s="56">
        <f t="shared" si="9"/>
        <v>0</v>
      </c>
    </row>
    <row r="202" spans="1:8" ht="15.75" thickBot="1" x14ac:dyDescent="0.3">
      <c r="A202" s="334"/>
      <c r="B202" s="338"/>
      <c r="C202" s="63"/>
      <c r="D202" s="80"/>
      <c r="E202" s="80"/>
      <c r="F202" s="57"/>
      <c r="G202" s="57"/>
      <c r="H202" s="56">
        <f>E202*25/100</f>
        <v>0</v>
      </c>
    </row>
    <row r="203" spans="1:8" ht="32.25" customHeight="1" thickBot="1" x14ac:dyDescent="0.3">
      <c r="A203" s="324" t="s">
        <v>376</v>
      </c>
      <c r="B203" s="325"/>
      <c r="C203" s="325"/>
      <c r="D203" s="325"/>
      <c r="E203" s="326"/>
      <c r="F203" s="64"/>
      <c r="G203" s="64"/>
      <c r="H203" s="165">
        <f>IF(G3&lt;=10,H150+H176,(H150+H176)/($G$3-5)*5)</f>
        <v>0</v>
      </c>
    </row>
    <row r="204" spans="1:8" ht="15.75" thickBot="1" x14ac:dyDescent="0.3">
      <c r="A204" s="332" t="s">
        <v>36</v>
      </c>
      <c r="B204" s="37" t="s">
        <v>37</v>
      </c>
      <c r="C204" s="38"/>
      <c r="D204" s="38"/>
      <c r="E204" s="38"/>
      <c r="F204" s="38"/>
      <c r="G204" s="104">
        <f>G205+G209</f>
        <v>0</v>
      </c>
      <c r="H204" s="167">
        <f>H205+H209</f>
        <v>0</v>
      </c>
    </row>
    <row r="205" spans="1:8" ht="15.75" thickBot="1" x14ac:dyDescent="0.3">
      <c r="A205" s="333"/>
      <c r="B205" s="329" t="s">
        <v>229</v>
      </c>
      <c r="C205" s="24" t="s">
        <v>38</v>
      </c>
      <c r="D205" s="35"/>
      <c r="E205" s="35"/>
      <c r="F205" s="77"/>
      <c r="G205" s="103">
        <f>G206+G207</f>
        <v>0</v>
      </c>
      <c r="H205" s="54">
        <f>H206+H207+H208</f>
        <v>0</v>
      </c>
    </row>
    <row r="206" spans="1:8" x14ac:dyDescent="0.25">
      <c r="A206" s="333"/>
      <c r="B206" s="330"/>
      <c r="C206" s="36" t="s">
        <v>211</v>
      </c>
      <c r="D206" s="36"/>
      <c r="E206" s="36"/>
      <c r="F206" s="36"/>
      <c r="G206" s="76">
        <f>G152</f>
        <v>0</v>
      </c>
      <c r="H206" s="76">
        <f>H152</f>
        <v>0</v>
      </c>
    </row>
    <row r="207" spans="1:8" x14ac:dyDescent="0.25">
      <c r="A207" s="333"/>
      <c r="B207" s="330"/>
      <c r="C207" s="36" t="s">
        <v>213</v>
      </c>
      <c r="D207" s="36"/>
      <c r="E207" s="36"/>
      <c r="F207" s="36"/>
      <c r="G207" s="67">
        <f>G158</f>
        <v>0</v>
      </c>
      <c r="H207" s="67">
        <f>H158</f>
        <v>0</v>
      </c>
    </row>
    <row r="208" spans="1:8" ht="15.75" thickBot="1" x14ac:dyDescent="0.3">
      <c r="A208" s="333"/>
      <c r="B208" s="330"/>
      <c r="C208" s="36" t="s">
        <v>478</v>
      </c>
      <c r="D208" s="36"/>
      <c r="E208" s="36"/>
      <c r="F208" s="36"/>
      <c r="G208" s="48">
        <f>G167</f>
        <v>0</v>
      </c>
      <c r="H208" s="48">
        <f>H167</f>
        <v>0</v>
      </c>
    </row>
    <row r="209" spans="1:8" ht="15.75" thickBot="1" x14ac:dyDescent="0.3">
      <c r="A209" s="333"/>
      <c r="B209" s="330" t="s">
        <v>230</v>
      </c>
      <c r="C209" s="39" t="s">
        <v>226</v>
      </c>
      <c r="D209" s="36"/>
      <c r="E209" s="36"/>
      <c r="F209" s="36"/>
      <c r="G209" s="101">
        <f>G210+G211</f>
        <v>0</v>
      </c>
      <c r="H209" s="54">
        <f>H210+H211+H212</f>
        <v>0</v>
      </c>
    </row>
    <row r="210" spans="1:8" x14ac:dyDescent="0.25">
      <c r="A210" s="333"/>
      <c r="B210" s="330"/>
      <c r="C210" s="36" t="s">
        <v>223</v>
      </c>
      <c r="D210" s="36"/>
      <c r="E210" s="36"/>
      <c r="F210" s="36"/>
      <c r="G210" s="48">
        <f>G178</f>
        <v>0</v>
      </c>
      <c r="H210" s="48">
        <f>H178</f>
        <v>0</v>
      </c>
    </row>
    <row r="211" spans="1:8" x14ac:dyDescent="0.25">
      <c r="A211" s="333"/>
      <c r="B211" s="330"/>
      <c r="C211" s="36" t="s">
        <v>225</v>
      </c>
      <c r="D211" s="36"/>
      <c r="E211" s="36"/>
      <c r="F211" s="36"/>
      <c r="G211" s="67">
        <f>G184</f>
        <v>0</v>
      </c>
      <c r="H211" s="67">
        <f>H184</f>
        <v>0</v>
      </c>
    </row>
    <row r="212" spans="1:8" ht="15.75" thickBot="1" x14ac:dyDescent="0.3">
      <c r="A212" s="334"/>
      <c r="B212" s="331"/>
      <c r="C212" s="68" t="s">
        <v>478</v>
      </c>
      <c r="D212" s="68"/>
      <c r="E212" s="68"/>
      <c r="F212" s="68"/>
      <c r="G212" s="69">
        <f>G194</f>
        <v>0</v>
      </c>
      <c r="H212" s="69">
        <f>H194</f>
        <v>0</v>
      </c>
    </row>
    <row r="214" spans="1:8" x14ac:dyDescent="0.25">
      <c r="B214" s="235"/>
    </row>
  </sheetData>
  <sheetProtection password="CE9C" sheet="1" objects="1" scenarios="1" formatCells="0" formatColumns="0" formatRows="0" insertRows="0"/>
  <mergeCells count="22">
    <mergeCell ref="A125:E125"/>
    <mergeCell ref="A9:A56"/>
    <mergeCell ref="B38:B56"/>
    <mergeCell ref="B10:B37"/>
    <mergeCell ref="A57:A75"/>
    <mergeCell ref="B58:B75"/>
    <mergeCell ref="A203:E203"/>
    <mergeCell ref="A6:B6"/>
    <mergeCell ref="B205:B208"/>
    <mergeCell ref="B209:B212"/>
    <mergeCell ref="A204:A212"/>
    <mergeCell ref="A176:A202"/>
    <mergeCell ref="B177:B202"/>
    <mergeCell ref="A76:A124"/>
    <mergeCell ref="B77:B105"/>
    <mergeCell ref="B136:B139"/>
    <mergeCell ref="B127:B135"/>
    <mergeCell ref="B140:B148"/>
    <mergeCell ref="A150:A175"/>
    <mergeCell ref="B151:B175"/>
    <mergeCell ref="B106:B124"/>
    <mergeCell ref="A126:A148"/>
  </mergeCells>
  <phoneticPr fontId="2" type="noConversion"/>
  <pageMargins left="0.31496062992125984" right="0.31496062992125984" top="0.35433070866141736" bottom="0.35433070866141736" header="0.31496062992125984" footer="0.31496062992125984"/>
  <pageSetup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2" r:id="rId16"/>
      </mc:Fallback>
    </mc:AlternateContent>
    <mc:AlternateContent xmlns:mc="http://schemas.openxmlformats.org/markup-compatibility/2006">
      <mc:Choice Requires="x14">
        <oleObject progId="Equation.3" shapeId="1033" r:id="rId18">
          <objectPr defaultSize="0" autoPict="0" r:id="rId19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3" r:id="rId18"/>
      </mc:Fallback>
    </mc:AlternateContent>
    <mc:AlternateContent xmlns:mc="http://schemas.openxmlformats.org/markup-compatibility/2006">
      <mc:Choice Requires="x14">
        <oleObject progId="Equation.3" shapeId="1034" r:id="rId20">
          <objectPr defaultSize="0" autoPict="0" r:id="rId21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4" r:id="rId20"/>
      </mc:Fallback>
    </mc:AlternateContent>
    <mc:AlternateContent xmlns:mc="http://schemas.openxmlformats.org/markup-compatibility/2006">
      <mc:Choice Requires="x14">
        <oleObject progId="Equation.3" shapeId="1035" r:id="rId22">
          <objectPr defaultSize="0" autoPict="0" r:id="rId23">
            <anchor moveWithCells="1" sizeWithCells="1">
              <from>
                <xdr:col>3</xdr:col>
                <xdr:colOff>0</xdr:colOff>
                <xdr:row>212</xdr:row>
                <xdr:rowOff>0</xdr:rowOff>
              </from>
              <to>
                <xdr:col>3</xdr:col>
                <xdr:colOff>0</xdr:colOff>
                <xdr:row>212</xdr:row>
                <xdr:rowOff>0</xdr:rowOff>
              </to>
            </anchor>
          </objectPr>
        </oleObject>
      </mc:Choice>
      <mc:Fallback>
        <oleObject progId="Equation.3" shapeId="1035" r:id="rId22"/>
      </mc:Fallback>
    </mc:AlternateContent>
    <mc:AlternateContent xmlns:mc="http://schemas.openxmlformats.org/markup-compatibility/2006">
      <mc:Choice Requires="x14">
        <oleObject progId="Equation.3" shapeId="1056" r:id="rId24">
          <objectPr defaultSize="0" autoPict="0" r:id="rId25">
            <anchor moveWithCells="1" sizeWithCells="1">
              <from>
                <xdr:col>2</xdr:col>
                <xdr:colOff>2295525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56" r:id="rId24"/>
      </mc:Fallback>
    </mc:AlternateContent>
    <mc:AlternateContent xmlns:mc="http://schemas.openxmlformats.org/markup-compatibility/2006">
      <mc:Choice Requires="x14">
        <oleObject progId="Equation.3" shapeId="1057" r:id="rId26">
          <objectPr defaultSize="0" autoPict="0" r:id="rId27">
            <anchor moveWithCells="1" sizeWithCells="1">
              <from>
                <xdr:col>2</xdr:col>
                <xdr:colOff>2409825</xdr:colOff>
                <xdr:row>212</xdr:row>
                <xdr:rowOff>0</xdr:rowOff>
              </from>
              <to>
                <xdr:col>2</xdr:col>
                <xdr:colOff>3790950</xdr:colOff>
                <xdr:row>212</xdr:row>
                <xdr:rowOff>0</xdr:rowOff>
              </to>
            </anchor>
          </objectPr>
        </oleObject>
      </mc:Choice>
      <mc:Fallback>
        <oleObject progId="Equation.3" shapeId="1057" r:id="rId26"/>
      </mc:Fallback>
    </mc:AlternateContent>
    <mc:AlternateContent xmlns:mc="http://schemas.openxmlformats.org/markup-compatibility/2006">
      <mc:Choice Requires="x14">
        <oleObject progId="Equation.3" shapeId="1058" r:id="rId28">
          <objectPr defaultSize="0" autoPict="0" r:id="rId29">
            <anchor moveWithCells="1" sizeWithCells="1">
              <from>
                <xdr:col>2</xdr:col>
                <xdr:colOff>2238375</xdr:colOff>
                <xdr:row>212</xdr:row>
                <xdr:rowOff>0</xdr:rowOff>
              </from>
              <to>
                <xdr:col>2</xdr:col>
                <xdr:colOff>3752850</xdr:colOff>
                <xdr:row>212</xdr:row>
                <xdr:rowOff>0</xdr:rowOff>
              </to>
            </anchor>
          </objectPr>
        </oleObject>
      </mc:Choice>
      <mc:Fallback>
        <oleObject progId="Equation.3" shapeId="1058" r:id="rId28"/>
      </mc:Fallback>
    </mc:AlternateContent>
    <mc:AlternateContent xmlns:mc="http://schemas.openxmlformats.org/markup-compatibility/2006">
      <mc:Choice Requires="x14">
        <oleObject progId="Equation.3" shapeId="1059" r:id="rId30">
          <objectPr defaultSize="0" autoPict="0" r:id="rId31">
            <anchor moveWithCells="1" sizeWithCells="1">
              <from>
                <xdr:col>2</xdr:col>
                <xdr:colOff>2333625</xdr:colOff>
                <xdr:row>212</xdr:row>
                <xdr:rowOff>0</xdr:rowOff>
              </from>
              <to>
                <xdr:col>2</xdr:col>
                <xdr:colOff>3724275</xdr:colOff>
                <xdr:row>212</xdr:row>
                <xdr:rowOff>0</xdr:rowOff>
              </to>
            </anchor>
          </objectPr>
        </oleObject>
      </mc:Choice>
      <mc:Fallback>
        <oleObject progId="Equation.3" shapeId="1059" r:id="rId30"/>
      </mc:Fallback>
    </mc:AlternateContent>
    <mc:AlternateContent xmlns:mc="http://schemas.openxmlformats.org/markup-compatibility/2006">
      <mc:Choice Requires="x14">
        <oleObject progId="Equation.3" shapeId="1060" r:id="rId32">
          <objectPr defaultSize="0" autoPict="0" r:id="rId33">
            <anchor moveWithCells="1" sizeWithCells="1">
              <from>
                <xdr:col>2</xdr:col>
                <xdr:colOff>2257425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60" r:id="rId32"/>
      </mc:Fallback>
    </mc:AlternateContent>
    <mc:AlternateContent xmlns:mc="http://schemas.openxmlformats.org/markup-compatibility/2006">
      <mc:Choice Requires="x14">
        <oleObject progId="Equation.3" shapeId="1061" r:id="rId34">
          <objectPr defaultSize="0" autoPict="0" r:id="rId35">
            <anchor moveWithCells="1" sizeWithCells="1">
              <from>
                <xdr:col>2</xdr:col>
                <xdr:colOff>2343150</xdr:colOff>
                <xdr:row>212</xdr:row>
                <xdr:rowOff>0</xdr:rowOff>
              </from>
              <to>
                <xdr:col>2</xdr:col>
                <xdr:colOff>3838575</xdr:colOff>
                <xdr:row>212</xdr:row>
                <xdr:rowOff>0</xdr:rowOff>
              </to>
            </anchor>
          </objectPr>
        </oleObject>
      </mc:Choice>
      <mc:Fallback>
        <oleObject progId="Equation.3" shapeId="1061" r:id="rId34"/>
      </mc:Fallback>
    </mc:AlternateContent>
    <mc:AlternateContent xmlns:mc="http://schemas.openxmlformats.org/markup-compatibility/2006">
      <mc:Choice Requires="x14">
        <oleObject progId="Equation.3" shapeId="1062" r:id="rId36">
          <objectPr defaultSize="0" autoPict="0" r:id="rId37">
            <anchor moveWithCells="1" sizeWithCells="1">
              <from>
                <xdr:col>2</xdr:col>
                <xdr:colOff>2171700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62" r:id="rId36"/>
      </mc:Fallback>
    </mc:AlternateContent>
    <mc:AlternateContent xmlns:mc="http://schemas.openxmlformats.org/markup-compatibility/2006">
      <mc:Choice Requires="x14">
        <oleObject progId="Equation.3" shapeId="1063" r:id="rId38">
          <objectPr defaultSize="0" autoPict="0" r:id="rId39">
            <anchor moveWithCells="1" sizeWithCells="1">
              <from>
                <xdr:col>2</xdr:col>
                <xdr:colOff>2247900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63" r:id="rId38"/>
      </mc:Fallback>
    </mc:AlternateContent>
    <mc:AlternateContent xmlns:mc="http://schemas.openxmlformats.org/markup-compatibility/2006">
      <mc:Choice Requires="x14">
        <oleObject progId="Equation.3" shapeId="1064" r:id="rId40">
          <objectPr defaultSize="0" autoPict="0" r:id="rId41">
            <anchor moveWithCells="1" sizeWithCells="1">
              <from>
                <xdr:col>2</xdr:col>
                <xdr:colOff>1885950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64" r:id="rId40"/>
      </mc:Fallback>
    </mc:AlternateContent>
    <mc:AlternateContent xmlns:mc="http://schemas.openxmlformats.org/markup-compatibility/2006">
      <mc:Choice Requires="x14">
        <oleObject progId="Equation.3" shapeId="1065" r:id="rId42">
          <objectPr defaultSize="0" autoPict="0" r:id="rId43">
            <anchor moveWithCells="1" sizeWithCells="1">
              <from>
                <xdr:col>2</xdr:col>
                <xdr:colOff>1905000</xdr:colOff>
                <xdr:row>212</xdr:row>
                <xdr:rowOff>0</xdr:rowOff>
              </from>
              <to>
                <xdr:col>2</xdr:col>
                <xdr:colOff>3867150</xdr:colOff>
                <xdr:row>212</xdr:row>
                <xdr:rowOff>0</xdr:rowOff>
              </to>
            </anchor>
          </objectPr>
        </oleObject>
      </mc:Choice>
      <mc:Fallback>
        <oleObject progId="Equation.3" shapeId="1065" r:id="rId4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4"/>
  <sheetViews>
    <sheetView workbookViewId="0">
      <selection activeCell="H15" sqref="H15"/>
    </sheetView>
  </sheetViews>
  <sheetFormatPr defaultRowHeight="15" x14ac:dyDescent="0.25"/>
  <cols>
    <col min="1" max="2" width="7.7109375" style="51" customWidth="1"/>
    <col min="3" max="3" width="63.140625" style="51" customWidth="1"/>
    <col min="4" max="4" width="15.140625" style="51" customWidth="1"/>
    <col min="5" max="5" width="7.85546875" style="51" customWidth="1"/>
    <col min="6" max="6" width="10.85546875" style="51" bestFit="1" customWidth="1"/>
    <col min="7" max="7" width="7.7109375" style="51" customWidth="1"/>
    <col min="8" max="8" width="11.7109375" style="204" customWidth="1"/>
    <col min="9" max="10" width="9.140625" style="51"/>
    <col min="11" max="11" width="23.5703125" style="51" bestFit="1" customWidth="1"/>
    <col min="12" max="16384" width="9.140625" style="51"/>
  </cols>
  <sheetData>
    <row r="1" spans="1:10" ht="15.75" x14ac:dyDescent="0.25">
      <c r="A1" s="279" t="s">
        <v>0</v>
      </c>
      <c r="B1" s="197"/>
      <c r="C1" s="197"/>
      <c r="D1" s="198"/>
      <c r="E1" s="197"/>
      <c r="F1" s="197"/>
      <c r="G1" s="197"/>
      <c r="H1" s="199"/>
    </row>
    <row r="2" spans="1:10" ht="16.5" thickBot="1" x14ac:dyDescent="0.3">
      <c r="A2" s="278" t="s">
        <v>378</v>
      </c>
      <c r="B2" s="277"/>
      <c r="C2" s="276">
        <f>'fisa word'!G2</f>
        <v>0</v>
      </c>
      <c r="D2" s="198"/>
      <c r="E2" s="197"/>
      <c r="F2" s="197"/>
      <c r="G2" s="197"/>
      <c r="H2" s="199"/>
    </row>
    <row r="3" spans="1:10" ht="16.5" thickBot="1" x14ac:dyDescent="0.3">
      <c r="A3" s="278" t="s">
        <v>377</v>
      </c>
      <c r="B3" s="277"/>
      <c r="C3" s="276">
        <f>'fisa word'!G3</f>
        <v>0</v>
      </c>
      <c r="D3" s="197" t="s">
        <v>1</v>
      </c>
      <c r="E3" s="197"/>
      <c r="F3" s="197"/>
      <c r="G3" s="200">
        <f>'fisa word'!B9</f>
        <v>5</v>
      </c>
      <c r="H3" s="199" t="s">
        <v>2</v>
      </c>
    </row>
    <row r="4" spans="1:10" ht="18.75" x14ac:dyDescent="0.3">
      <c r="A4" s="197"/>
      <c r="B4" s="197"/>
      <c r="C4" s="195">
        <f>'fisa word'!G4</f>
        <v>0</v>
      </c>
      <c r="D4" s="197"/>
      <c r="E4" s="197"/>
      <c r="F4" s="197"/>
      <c r="G4" s="197"/>
      <c r="H4" s="199"/>
    </row>
    <row r="5" spans="1:10" ht="18.75" x14ac:dyDescent="0.3">
      <c r="A5" s="197"/>
      <c r="B5" s="197"/>
      <c r="C5" s="195">
        <f>'fisa word'!G5</f>
        <v>0</v>
      </c>
      <c r="D5" s="197"/>
      <c r="E5" s="197"/>
      <c r="F5" s="197"/>
      <c r="G5" s="197"/>
      <c r="H5" s="199"/>
    </row>
    <row r="6" spans="1:10" ht="48" thickBot="1" x14ac:dyDescent="0.3">
      <c r="A6" s="363" t="s">
        <v>3</v>
      </c>
      <c r="B6" s="364"/>
      <c r="C6" s="201" t="s">
        <v>124</v>
      </c>
      <c r="D6" s="201"/>
      <c r="E6" s="201" t="s">
        <v>191</v>
      </c>
      <c r="F6" s="201" t="s">
        <v>11</v>
      </c>
      <c r="G6" s="201" t="s">
        <v>9</v>
      </c>
      <c r="H6" s="202" t="s">
        <v>12</v>
      </c>
    </row>
    <row r="7" spans="1:10" ht="19.5" thickBot="1" x14ac:dyDescent="0.35">
      <c r="A7" s="83" t="s">
        <v>92</v>
      </c>
      <c r="B7" s="203"/>
      <c r="C7" s="110"/>
      <c r="D7" s="203"/>
      <c r="E7" s="64"/>
      <c r="F7" s="64"/>
      <c r="G7" s="64"/>
      <c r="H7" s="109">
        <f>45*(H8+H73+H452+H468+H482)/100</f>
        <v>0</v>
      </c>
    </row>
    <row r="8" spans="1:10" ht="33" customHeight="1" thickBot="1" x14ac:dyDescent="0.35">
      <c r="A8" s="365" t="s">
        <v>363</v>
      </c>
      <c r="B8" s="366"/>
      <c r="C8" s="366"/>
      <c r="D8" s="366"/>
      <c r="E8" s="366"/>
      <c r="F8" s="367"/>
      <c r="G8" s="184"/>
      <c r="H8" s="168">
        <f>IF(G3&lt;=10,H10+H54+H57+H64,(H10+H65)/(G3-5)*5+H54+H57+H66)</f>
        <v>0</v>
      </c>
    </row>
    <row r="9" spans="1:10" ht="46.5" customHeight="1" thickBot="1" x14ac:dyDescent="0.3">
      <c r="A9" s="370" t="s">
        <v>462</v>
      </c>
      <c r="B9" s="371"/>
      <c r="C9" s="371"/>
      <c r="D9" s="371"/>
      <c r="E9" s="371"/>
      <c r="F9" s="371"/>
      <c r="G9" s="371"/>
      <c r="H9" s="372"/>
    </row>
    <row r="10" spans="1:10" ht="15.75" thickBot="1" x14ac:dyDescent="0.3">
      <c r="A10" s="335" t="s">
        <v>343</v>
      </c>
      <c r="B10" s="37" t="s">
        <v>342</v>
      </c>
      <c r="C10" s="38"/>
      <c r="D10" s="38"/>
      <c r="E10" s="38"/>
      <c r="F10" s="38"/>
      <c r="G10" s="38">
        <f>G11+G31</f>
        <v>0</v>
      </c>
      <c r="H10" s="75">
        <f>H11+H31</f>
        <v>0</v>
      </c>
      <c r="J10" s="204"/>
    </row>
    <row r="11" spans="1:10" x14ac:dyDescent="0.25">
      <c r="A11" s="333"/>
      <c r="B11" s="357"/>
      <c r="C11" s="205" t="s">
        <v>344</v>
      </c>
      <c r="D11" s="35"/>
      <c r="E11" s="206"/>
      <c r="F11" s="35"/>
      <c r="G11" s="59">
        <f>COUNTIF(E13:E30,"nu")</f>
        <v>0</v>
      </c>
      <c r="H11" s="60">
        <f>SUMIF(E13:E30,"NU",H13:H30)</f>
        <v>0</v>
      </c>
    </row>
    <row r="12" spans="1:10" ht="15.75" thickBot="1" x14ac:dyDescent="0.3">
      <c r="A12" s="333"/>
      <c r="B12" s="357"/>
      <c r="C12" s="205" t="s">
        <v>345</v>
      </c>
      <c r="D12" s="35" t="s">
        <v>82</v>
      </c>
      <c r="E12" s="206" t="s">
        <v>192</v>
      </c>
      <c r="F12" s="35"/>
      <c r="G12" s="61">
        <f>COUNTIF(E13:E30,"da")</f>
        <v>0</v>
      </c>
      <c r="H12" s="62">
        <f>SUMIF(E13:E30,"DA",H13:H30)</f>
        <v>0</v>
      </c>
      <c r="J12" s="204"/>
    </row>
    <row r="13" spans="1:10" x14ac:dyDescent="0.25">
      <c r="A13" s="333"/>
      <c r="B13" s="358"/>
      <c r="C13" s="207"/>
      <c r="D13" s="44"/>
      <c r="E13" s="55"/>
      <c r="F13" s="36"/>
      <c r="G13" s="36"/>
      <c r="H13" s="56">
        <f>IF(D13=0,0,D13/500)</f>
        <v>0</v>
      </c>
    </row>
    <row r="14" spans="1:10" x14ac:dyDescent="0.25">
      <c r="A14" s="333"/>
      <c r="B14" s="358"/>
      <c r="C14" s="207"/>
      <c r="D14" s="44"/>
      <c r="E14" s="55"/>
      <c r="F14" s="36"/>
      <c r="G14" s="36"/>
      <c r="H14" s="56">
        <f t="shared" ref="H14:H30" si="0">IF(D14=0,0,D14/500)</f>
        <v>0</v>
      </c>
    </row>
    <row r="15" spans="1:10" x14ac:dyDescent="0.25">
      <c r="A15" s="333"/>
      <c r="B15" s="358"/>
      <c r="C15" s="207"/>
      <c r="D15" s="44"/>
      <c r="E15" s="55"/>
      <c r="F15" s="36"/>
      <c r="G15" s="36"/>
      <c r="H15" s="56">
        <f t="shared" si="0"/>
        <v>0</v>
      </c>
    </row>
    <row r="16" spans="1:10" x14ac:dyDescent="0.25">
      <c r="A16" s="333"/>
      <c r="B16" s="358"/>
      <c r="C16" s="207"/>
      <c r="D16" s="44"/>
      <c r="E16" s="55"/>
      <c r="F16" s="36"/>
      <c r="G16" s="36"/>
      <c r="H16" s="56">
        <f t="shared" si="0"/>
        <v>0</v>
      </c>
    </row>
    <row r="17" spans="1:8" x14ac:dyDescent="0.25">
      <c r="A17" s="333"/>
      <c r="B17" s="358"/>
      <c r="C17" s="207"/>
      <c r="D17" s="44"/>
      <c r="E17" s="55"/>
      <c r="F17" s="36"/>
      <c r="G17" s="36"/>
      <c r="H17" s="56">
        <f t="shared" si="0"/>
        <v>0</v>
      </c>
    </row>
    <row r="18" spans="1:8" x14ac:dyDescent="0.25">
      <c r="A18" s="333"/>
      <c r="B18" s="358"/>
      <c r="C18" s="207"/>
      <c r="D18" s="44"/>
      <c r="E18" s="55"/>
      <c r="F18" s="36"/>
      <c r="G18" s="36"/>
      <c r="H18" s="56">
        <f>IF(D18=0,0,D18/500)</f>
        <v>0</v>
      </c>
    </row>
    <row r="19" spans="1:8" x14ac:dyDescent="0.25">
      <c r="A19" s="333"/>
      <c r="B19" s="358"/>
      <c r="C19" s="207"/>
      <c r="D19" s="44"/>
      <c r="E19" s="55"/>
      <c r="F19" s="36"/>
      <c r="G19" s="36"/>
      <c r="H19" s="56">
        <f t="shared" si="0"/>
        <v>0</v>
      </c>
    </row>
    <row r="20" spans="1:8" x14ac:dyDescent="0.25">
      <c r="A20" s="333"/>
      <c r="B20" s="358"/>
      <c r="C20" s="207"/>
      <c r="D20" s="44"/>
      <c r="E20" s="55"/>
      <c r="F20" s="36"/>
      <c r="G20" s="36"/>
      <c r="H20" s="56">
        <f t="shared" si="0"/>
        <v>0</v>
      </c>
    </row>
    <row r="21" spans="1:8" x14ac:dyDescent="0.25">
      <c r="A21" s="333"/>
      <c r="B21" s="358"/>
      <c r="C21" s="207"/>
      <c r="D21" s="44"/>
      <c r="E21" s="55"/>
      <c r="F21" s="36"/>
      <c r="G21" s="36"/>
      <c r="H21" s="56">
        <f t="shared" si="0"/>
        <v>0</v>
      </c>
    </row>
    <row r="22" spans="1:8" x14ac:dyDescent="0.25">
      <c r="A22" s="333"/>
      <c r="B22" s="358"/>
      <c r="C22" s="207"/>
      <c r="D22" s="44"/>
      <c r="E22" s="55"/>
      <c r="F22" s="36"/>
      <c r="G22" s="36"/>
      <c r="H22" s="56">
        <f t="shared" si="0"/>
        <v>0</v>
      </c>
    </row>
    <row r="23" spans="1:8" x14ac:dyDescent="0.25">
      <c r="A23" s="333"/>
      <c r="B23" s="358"/>
      <c r="C23" s="207"/>
      <c r="D23" s="44"/>
      <c r="E23" s="55"/>
      <c r="F23" s="36"/>
      <c r="G23" s="36"/>
      <c r="H23" s="56">
        <f t="shared" si="0"/>
        <v>0</v>
      </c>
    </row>
    <row r="24" spans="1:8" x14ac:dyDescent="0.25">
      <c r="A24" s="333"/>
      <c r="B24" s="358"/>
      <c r="C24" s="207"/>
      <c r="D24" s="44"/>
      <c r="E24" s="55"/>
      <c r="F24" s="36"/>
      <c r="G24" s="36"/>
      <c r="H24" s="56">
        <f t="shared" si="0"/>
        <v>0</v>
      </c>
    </row>
    <row r="25" spans="1:8" x14ac:dyDescent="0.25">
      <c r="A25" s="333"/>
      <c r="B25" s="358"/>
      <c r="C25" s="207"/>
      <c r="D25" s="44"/>
      <c r="E25" s="55"/>
      <c r="F25" s="36"/>
      <c r="G25" s="36"/>
      <c r="H25" s="56">
        <f t="shared" si="0"/>
        <v>0</v>
      </c>
    </row>
    <row r="26" spans="1:8" x14ac:dyDescent="0.25">
      <c r="A26" s="333"/>
      <c r="B26" s="358"/>
      <c r="C26" s="207"/>
      <c r="D26" s="44"/>
      <c r="E26" s="55"/>
      <c r="F26" s="36"/>
      <c r="G26" s="36"/>
      <c r="H26" s="56">
        <f t="shared" si="0"/>
        <v>0</v>
      </c>
    </row>
    <row r="27" spans="1:8" x14ac:dyDescent="0.25">
      <c r="A27" s="333"/>
      <c r="B27" s="358"/>
      <c r="C27" s="207"/>
      <c r="D27" s="44"/>
      <c r="E27" s="55"/>
      <c r="F27" s="36"/>
      <c r="G27" s="36"/>
      <c r="H27" s="56">
        <f t="shared" si="0"/>
        <v>0</v>
      </c>
    </row>
    <row r="28" spans="1:8" x14ac:dyDescent="0.25">
      <c r="A28" s="333"/>
      <c r="B28" s="358"/>
      <c r="C28" s="207"/>
      <c r="D28" s="44"/>
      <c r="E28" s="55"/>
      <c r="F28" s="36"/>
      <c r="G28" s="36"/>
      <c r="H28" s="56">
        <f t="shared" si="0"/>
        <v>0</v>
      </c>
    </row>
    <row r="29" spans="1:8" x14ac:dyDescent="0.25">
      <c r="A29" s="333"/>
      <c r="B29" s="358"/>
      <c r="C29" s="207"/>
      <c r="D29" s="44"/>
      <c r="E29" s="55"/>
      <c r="F29" s="36"/>
      <c r="G29" s="36"/>
      <c r="H29" s="56">
        <f t="shared" si="0"/>
        <v>0</v>
      </c>
    </row>
    <row r="30" spans="1:8" ht="15.75" thickBot="1" x14ac:dyDescent="0.3">
      <c r="A30" s="333"/>
      <c r="B30" s="358"/>
      <c r="C30" s="207"/>
      <c r="D30" s="44"/>
      <c r="E30" s="55"/>
      <c r="F30" s="36"/>
      <c r="G30" s="36"/>
      <c r="H30" s="56">
        <f t="shared" si="0"/>
        <v>0</v>
      </c>
    </row>
    <row r="31" spans="1:8" x14ac:dyDescent="0.25">
      <c r="A31" s="333"/>
      <c r="B31" s="358"/>
      <c r="C31" s="182" t="s">
        <v>346</v>
      </c>
      <c r="D31" s="36"/>
      <c r="E31" s="36"/>
      <c r="F31" s="36"/>
      <c r="G31" s="59">
        <f>COUNTIF(E33:E53,"nu")</f>
        <v>0</v>
      </c>
      <c r="H31" s="60">
        <f>SUMIF(E33:E53,"NU",H33:H53)</f>
        <v>0</v>
      </c>
    </row>
    <row r="32" spans="1:8" ht="19.5" customHeight="1" thickBot="1" x14ac:dyDescent="0.3">
      <c r="A32" s="333"/>
      <c r="B32" s="358"/>
      <c r="C32" s="183" t="s">
        <v>364</v>
      </c>
      <c r="D32" s="35" t="s">
        <v>82</v>
      </c>
      <c r="E32" s="206" t="s">
        <v>192</v>
      </c>
      <c r="F32" s="36" t="s">
        <v>227</v>
      </c>
      <c r="G32" s="61">
        <f>COUNTIF(E33:E53,"da")</f>
        <v>0</v>
      </c>
      <c r="H32" s="62">
        <f>SUMIF(E33:E53,"DA",H33:H53)</f>
        <v>0</v>
      </c>
    </row>
    <row r="33" spans="1:8" x14ac:dyDescent="0.25">
      <c r="A33" s="333"/>
      <c r="B33" s="358"/>
      <c r="C33" s="207"/>
      <c r="D33" s="44"/>
      <c r="E33" s="55"/>
      <c r="F33" s="44"/>
      <c r="G33" s="36"/>
      <c r="H33" s="56">
        <f>IF(F33=0,0,D33/(500*F33))</f>
        <v>0</v>
      </c>
    </row>
    <row r="34" spans="1:8" x14ac:dyDescent="0.25">
      <c r="A34" s="333"/>
      <c r="B34" s="359"/>
      <c r="C34" s="208"/>
      <c r="D34" s="44"/>
      <c r="E34" s="209"/>
      <c r="F34" s="63"/>
      <c r="G34" s="57"/>
      <c r="H34" s="56">
        <f t="shared" ref="H34:H53" si="1">IF(F34=0,0,D34/(500*F34))</f>
        <v>0</v>
      </c>
    </row>
    <row r="35" spans="1:8" x14ac:dyDescent="0.25">
      <c r="A35" s="333"/>
      <c r="B35" s="359"/>
      <c r="C35" s="208"/>
      <c r="D35" s="44"/>
      <c r="E35" s="209"/>
      <c r="F35" s="63"/>
      <c r="G35" s="57"/>
      <c r="H35" s="56">
        <f t="shared" si="1"/>
        <v>0</v>
      </c>
    </row>
    <row r="36" spans="1:8" x14ac:dyDescent="0.25">
      <c r="A36" s="333"/>
      <c r="B36" s="359"/>
      <c r="C36" s="208"/>
      <c r="D36" s="44"/>
      <c r="E36" s="209"/>
      <c r="F36" s="63"/>
      <c r="G36" s="57"/>
      <c r="H36" s="56">
        <f t="shared" si="1"/>
        <v>0</v>
      </c>
    </row>
    <row r="37" spans="1:8" x14ac:dyDescent="0.25">
      <c r="A37" s="333"/>
      <c r="B37" s="359"/>
      <c r="C37" s="208"/>
      <c r="D37" s="44"/>
      <c r="E37" s="209"/>
      <c r="F37" s="63"/>
      <c r="G37" s="57"/>
      <c r="H37" s="56">
        <f t="shared" si="1"/>
        <v>0</v>
      </c>
    </row>
    <row r="38" spans="1:8" x14ac:dyDescent="0.25">
      <c r="A38" s="333"/>
      <c r="B38" s="359"/>
      <c r="C38" s="208"/>
      <c r="D38" s="44"/>
      <c r="E38" s="209"/>
      <c r="F38" s="63"/>
      <c r="G38" s="57"/>
      <c r="H38" s="56">
        <f>IF(F38=0,0,D38/(500*F38))</f>
        <v>0</v>
      </c>
    </row>
    <row r="39" spans="1:8" x14ac:dyDescent="0.25">
      <c r="A39" s="333"/>
      <c r="B39" s="359"/>
      <c r="C39" s="208"/>
      <c r="D39" s="44"/>
      <c r="E39" s="209"/>
      <c r="F39" s="63"/>
      <c r="G39" s="57"/>
      <c r="H39" s="56">
        <f t="shared" si="1"/>
        <v>0</v>
      </c>
    </row>
    <row r="40" spans="1:8" x14ac:dyDescent="0.25">
      <c r="A40" s="333"/>
      <c r="B40" s="359"/>
      <c r="C40" s="208"/>
      <c r="D40" s="44"/>
      <c r="E40" s="209"/>
      <c r="F40" s="63"/>
      <c r="G40" s="57"/>
      <c r="H40" s="56">
        <f t="shared" si="1"/>
        <v>0</v>
      </c>
    </row>
    <row r="41" spans="1:8" x14ac:dyDescent="0.25">
      <c r="A41" s="333"/>
      <c r="B41" s="359"/>
      <c r="C41" s="208"/>
      <c r="D41" s="44"/>
      <c r="E41" s="209"/>
      <c r="F41" s="63"/>
      <c r="G41" s="57"/>
      <c r="H41" s="56">
        <f t="shared" si="1"/>
        <v>0</v>
      </c>
    </row>
    <row r="42" spans="1:8" x14ac:dyDescent="0.25">
      <c r="A42" s="333"/>
      <c r="B42" s="359"/>
      <c r="C42" s="208"/>
      <c r="D42" s="44"/>
      <c r="E42" s="209"/>
      <c r="F42" s="63"/>
      <c r="G42" s="57"/>
      <c r="H42" s="56">
        <f t="shared" si="1"/>
        <v>0</v>
      </c>
    </row>
    <row r="43" spans="1:8" x14ac:dyDescent="0.25">
      <c r="A43" s="333"/>
      <c r="B43" s="359"/>
      <c r="C43" s="208"/>
      <c r="D43" s="44"/>
      <c r="E43" s="209"/>
      <c r="F43" s="63"/>
      <c r="G43" s="57"/>
      <c r="H43" s="56">
        <f t="shared" si="1"/>
        <v>0</v>
      </c>
    </row>
    <row r="44" spans="1:8" x14ac:dyDescent="0.25">
      <c r="A44" s="333"/>
      <c r="B44" s="359"/>
      <c r="C44" s="208"/>
      <c r="D44" s="44"/>
      <c r="E44" s="209"/>
      <c r="F44" s="63"/>
      <c r="G44" s="57"/>
      <c r="H44" s="56">
        <f t="shared" si="1"/>
        <v>0</v>
      </c>
    </row>
    <row r="45" spans="1:8" x14ac:dyDescent="0.25">
      <c r="A45" s="333"/>
      <c r="B45" s="359"/>
      <c r="C45" s="208"/>
      <c r="D45" s="44"/>
      <c r="E45" s="209"/>
      <c r="F45" s="63"/>
      <c r="G45" s="57"/>
      <c r="H45" s="56">
        <f t="shared" si="1"/>
        <v>0</v>
      </c>
    </row>
    <row r="46" spans="1:8" x14ac:dyDescent="0.25">
      <c r="A46" s="333"/>
      <c r="B46" s="359"/>
      <c r="C46" s="208"/>
      <c r="D46" s="44"/>
      <c r="E46" s="209"/>
      <c r="F46" s="63"/>
      <c r="G46" s="57"/>
      <c r="H46" s="56">
        <f t="shared" si="1"/>
        <v>0</v>
      </c>
    </row>
    <row r="47" spans="1:8" x14ac:dyDescent="0.25">
      <c r="A47" s="333"/>
      <c r="B47" s="359"/>
      <c r="C47" s="208"/>
      <c r="D47" s="44"/>
      <c r="E47" s="209"/>
      <c r="F47" s="63"/>
      <c r="G47" s="57"/>
      <c r="H47" s="56">
        <f t="shared" si="1"/>
        <v>0</v>
      </c>
    </row>
    <row r="48" spans="1:8" x14ac:dyDescent="0.25">
      <c r="A48" s="333"/>
      <c r="B48" s="359"/>
      <c r="C48" s="208"/>
      <c r="D48" s="44"/>
      <c r="E48" s="209"/>
      <c r="F48" s="63"/>
      <c r="G48" s="57"/>
      <c r="H48" s="56">
        <f t="shared" si="1"/>
        <v>0</v>
      </c>
    </row>
    <row r="49" spans="1:8" x14ac:dyDescent="0.25">
      <c r="A49" s="333"/>
      <c r="B49" s="359"/>
      <c r="C49" s="208"/>
      <c r="D49" s="44"/>
      <c r="E49" s="209"/>
      <c r="F49" s="63"/>
      <c r="G49" s="57"/>
      <c r="H49" s="56">
        <f>IF(F49=0,0,D49/(500*F49))</f>
        <v>0</v>
      </c>
    </row>
    <row r="50" spans="1:8" x14ac:dyDescent="0.25">
      <c r="A50" s="333"/>
      <c r="B50" s="359"/>
      <c r="C50" s="208"/>
      <c r="D50" s="44"/>
      <c r="E50" s="209"/>
      <c r="F50" s="63"/>
      <c r="G50" s="57"/>
      <c r="H50" s="56">
        <f t="shared" si="1"/>
        <v>0</v>
      </c>
    </row>
    <row r="51" spans="1:8" x14ac:dyDescent="0.25">
      <c r="A51" s="333"/>
      <c r="B51" s="359"/>
      <c r="C51" s="208"/>
      <c r="D51" s="44"/>
      <c r="E51" s="209"/>
      <c r="F51" s="63"/>
      <c r="G51" s="57"/>
      <c r="H51" s="56">
        <f t="shared" si="1"/>
        <v>0</v>
      </c>
    </row>
    <row r="52" spans="1:8" x14ac:dyDescent="0.25">
      <c r="A52" s="333"/>
      <c r="B52" s="359"/>
      <c r="C52" s="208"/>
      <c r="D52" s="44"/>
      <c r="E52" s="209"/>
      <c r="F52" s="63"/>
      <c r="G52" s="57"/>
      <c r="H52" s="56">
        <f t="shared" si="1"/>
        <v>0</v>
      </c>
    </row>
    <row r="53" spans="1:8" ht="15.75" thickBot="1" x14ac:dyDescent="0.3">
      <c r="A53" s="342"/>
      <c r="B53" s="359"/>
      <c r="C53" s="208"/>
      <c r="D53" s="44"/>
      <c r="E53" s="209"/>
      <c r="F53" s="63"/>
      <c r="G53" s="57"/>
      <c r="H53" s="56">
        <f t="shared" si="1"/>
        <v>0</v>
      </c>
    </row>
    <row r="54" spans="1:8" ht="15.75" thickBot="1" x14ac:dyDescent="0.3">
      <c r="A54" s="324" t="s">
        <v>348</v>
      </c>
      <c r="B54" s="325"/>
      <c r="C54" s="326"/>
      <c r="D54" s="210"/>
      <c r="E54" s="210"/>
      <c r="F54" s="64" t="s">
        <v>278</v>
      </c>
      <c r="G54" s="211">
        <f>SUM(G55:G56)</f>
        <v>0</v>
      </c>
      <c r="H54" s="109">
        <f>SUM(H55:H56)</f>
        <v>0</v>
      </c>
    </row>
    <row r="55" spans="1:8" x14ac:dyDescent="0.25">
      <c r="A55" s="376"/>
      <c r="B55" s="368" t="s">
        <v>228</v>
      </c>
      <c r="C55" s="205" t="s">
        <v>345</v>
      </c>
      <c r="D55" s="35"/>
      <c r="E55" s="35"/>
      <c r="F55" s="35"/>
      <c r="G55" s="212">
        <f>G12</f>
        <v>0</v>
      </c>
      <c r="H55" s="56">
        <f>H12</f>
        <v>0</v>
      </c>
    </row>
    <row r="56" spans="1:8" ht="30.75" thickBot="1" x14ac:dyDescent="0.3">
      <c r="A56" s="377"/>
      <c r="B56" s="369"/>
      <c r="C56" s="183" t="s">
        <v>347</v>
      </c>
      <c r="D56" s="35"/>
      <c r="E56" s="35"/>
      <c r="F56" s="35"/>
      <c r="G56" s="212">
        <f>G32</f>
        <v>0</v>
      </c>
      <c r="H56" s="56">
        <f>H32</f>
        <v>0</v>
      </c>
    </row>
    <row r="57" spans="1:8" ht="34.5" customHeight="1" thickBot="1" x14ac:dyDescent="0.3">
      <c r="A57" s="324" t="s">
        <v>316</v>
      </c>
      <c r="B57" s="325"/>
      <c r="C57" s="326"/>
      <c r="D57" s="213" t="s">
        <v>93</v>
      </c>
      <c r="E57" s="213"/>
      <c r="F57" s="64"/>
      <c r="G57" s="211">
        <f>COUNTA(C58:C63)</f>
        <v>0</v>
      </c>
      <c r="H57" s="109">
        <f>SUM(H58:H63)</f>
        <v>0</v>
      </c>
    </row>
    <row r="58" spans="1:8" x14ac:dyDescent="0.25">
      <c r="A58" s="214"/>
      <c r="B58" s="214"/>
      <c r="C58" s="215"/>
      <c r="D58" s="215"/>
      <c r="E58" s="215"/>
      <c r="F58" s="35"/>
      <c r="G58" s="35"/>
      <c r="H58" s="56">
        <f t="shared" ref="H58:H63" si="2">D58*0.2</f>
        <v>0</v>
      </c>
    </row>
    <row r="59" spans="1:8" x14ac:dyDescent="0.25">
      <c r="A59" s="216"/>
      <c r="B59" s="216"/>
      <c r="C59" s="215"/>
      <c r="D59" s="215"/>
      <c r="E59" s="215"/>
      <c r="F59" s="35"/>
      <c r="G59" s="35"/>
      <c r="H59" s="56">
        <f t="shared" si="2"/>
        <v>0</v>
      </c>
    </row>
    <row r="60" spans="1:8" x14ac:dyDescent="0.25">
      <c r="A60" s="216"/>
      <c r="B60" s="216"/>
      <c r="C60" s="215"/>
      <c r="D60" s="215"/>
      <c r="E60" s="215"/>
      <c r="F60" s="35"/>
      <c r="G60" s="35"/>
      <c r="H60" s="56">
        <f t="shared" si="2"/>
        <v>0</v>
      </c>
    </row>
    <row r="61" spans="1:8" x14ac:dyDescent="0.25">
      <c r="A61" s="216"/>
      <c r="B61" s="216"/>
      <c r="C61" s="215"/>
      <c r="D61" s="215"/>
      <c r="E61" s="215"/>
      <c r="F61" s="35"/>
      <c r="G61" s="35"/>
      <c r="H61" s="56">
        <f t="shared" si="2"/>
        <v>0</v>
      </c>
    </row>
    <row r="62" spans="1:8" x14ac:dyDescent="0.25">
      <c r="A62" s="216"/>
      <c r="B62" s="216"/>
      <c r="C62" s="215"/>
      <c r="D62" s="215"/>
      <c r="E62" s="215"/>
      <c r="F62" s="35"/>
      <c r="G62" s="35"/>
      <c r="H62" s="56">
        <f t="shared" si="2"/>
        <v>0</v>
      </c>
    </row>
    <row r="63" spans="1:8" ht="15.75" thickBot="1" x14ac:dyDescent="0.3">
      <c r="A63" s="216"/>
      <c r="B63" s="216"/>
      <c r="C63" s="215"/>
      <c r="D63" s="215"/>
      <c r="E63" s="215"/>
      <c r="F63" s="35"/>
      <c r="G63" s="35"/>
      <c r="H63" s="56">
        <f t="shared" si="2"/>
        <v>0</v>
      </c>
    </row>
    <row r="64" spans="1:8" ht="15.75" thickBot="1" x14ac:dyDescent="0.3">
      <c r="A64" s="324" t="s">
        <v>349</v>
      </c>
      <c r="B64" s="325"/>
      <c r="C64" s="326"/>
      <c r="D64" s="213"/>
      <c r="E64" s="213"/>
      <c r="F64" s="64"/>
      <c r="G64" s="64">
        <f>G65+G66</f>
        <v>0</v>
      </c>
      <c r="H64" s="185">
        <f>H65+H66</f>
        <v>0</v>
      </c>
    </row>
    <row r="65" spans="1:8" x14ac:dyDescent="0.25">
      <c r="A65" s="378"/>
      <c r="B65" s="378"/>
      <c r="C65" s="217" t="s">
        <v>350</v>
      </c>
      <c r="D65" s="218"/>
      <c r="E65" s="218"/>
      <c r="F65" s="77"/>
      <c r="G65" s="77">
        <f>COUNTIF(E67:E72,"nu")</f>
        <v>0</v>
      </c>
      <c r="H65" s="60">
        <f>SUMIF(E67:E72,"nu",H67:H72)</f>
        <v>0</v>
      </c>
    </row>
    <row r="66" spans="1:8" ht="15.75" customHeight="1" thickBot="1" x14ac:dyDescent="0.3">
      <c r="A66" s="378"/>
      <c r="B66" s="378"/>
      <c r="C66" s="219" t="s">
        <v>351</v>
      </c>
      <c r="D66" s="220" t="s">
        <v>82</v>
      </c>
      <c r="E66" s="220" t="s">
        <v>192</v>
      </c>
      <c r="F66" s="68"/>
      <c r="G66" s="68">
        <f>COUNTIF(E67:E72,"da")</f>
        <v>0</v>
      </c>
      <c r="H66" s="62">
        <f>SUMIF(E67:E72,"DA",H67:H72)</f>
        <v>0</v>
      </c>
    </row>
    <row r="67" spans="1:8" x14ac:dyDescent="0.25">
      <c r="A67" s="378"/>
      <c r="B67" s="378"/>
      <c r="C67" s="314"/>
      <c r="D67" s="215"/>
      <c r="E67" s="215"/>
      <c r="F67" s="35"/>
      <c r="G67" s="35"/>
      <c r="H67" s="56">
        <f t="shared" ref="H67:H72" si="3">IF(D67=0,0,D67/800)</f>
        <v>0</v>
      </c>
    </row>
    <row r="68" spans="1:8" x14ac:dyDescent="0.25">
      <c r="A68" s="378"/>
      <c r="B68" s="378"/>
      <c r="C68" s="314"/>
      <c r="D68" s="44"/>
      <c r="E68" s="44"/>
      <c r="F68" s="36"/>
      <c r="G68" s="36"/>
      <c r="H68" s="67">
        <f t="shared" si="3"/>
        <v>0</v>
      </c>
    </row>
    <row r="69" spans="1:8" x14ac:dyDescent="0.25">
      <c r="A69" s="378"/>
      <c r="B69" s="378"/>
      <c r="C69" s="215"/>
      <c r="D69" s="215"/>
      <c r="E69" s="215"/>
      <c r="F69" s="35"/>
      <c r="G69" s="35"/>
      <c r="H69" s="56">
        <f t="shared" si="3"/>
        <v>0</v>
      </c>
    </row>
    <row r="70" spans="1:8" x14ac:dyDescent="0.25">
      <c r="A70" s="378"/>
      <c r="B70" s="378"/>
      <c r="C70" s="215"/>
      <c r="D70" s="215"/>
      <c r="E70" s="215"/>
      <c r="F70" s="35"/>
      <c r="G70" s="35"/>
      <c r="H70" s="56">
        <f t="shared" si="3"/>
        <v>0</v>
      </c>
    </row>
    <row r="71" spans="1:8" x14ac:dyDescent="0.25">
      <c r="A71" s="378"/>
      <c r="B71" s="378"/>
      <c r="C71" s="215"/>
      <c r="D71" s="215"/>
      <c r="E71" s="215"/>
      <c r="F71" s="35"/>
      <c r="G71" s="35"/>
      <c r="H71" s="56">
        <f t="shared" si="3"/>
        <v>0</v>
      </c>
    </row>
    <row r="72" spans="1:8" ht="15.75" thickBot="1" x14ac:dyDescent="0.3">
      <c r="A72" s="379"/>
      <c r="B72" s="379"/>
      <c r="C72" s="63"/>
      <c r="D72" s="63"/>
      <c r="E72" s="63"/>
      <c r="F72" s="57"/>
      <c r="G72" s="57"/>
      <c r="H72" s="56">
        <f t="shared" si="3"/>
        <v>0</v>
      </c>
    </row>
    <row r="73" spans="1:8" ht="19.5" thickBot="1" x14ac:dyDescent="0.35">
      <c r="A73" s="83" t="s">
        <v>39</v>
      </c>
      <c r="B73" s="84"/>
      <c r="C73" s="84"/>
      <c r="D73" s="64"/>
      <c r="E73" s="64"/>
      <c r="F73" s="64"/>
      <c r="G73" s="64">
        <f>G74+G99+G152+G353+G389</f>
        <v>0</v>
      </c>
      <c r="H73" s="109">
        <f>H419+H420</f>
        <v>0</v>
      </c>
    </row>
    <row r="74" spans="1:8" ht="15.75" thickBot="1" x14ac:dyDescent="0.3">
      <c r="A74" s="332" t="s">
        <v>40</v>
      </c>
      <c r="B74" s="50" t="s">
        <v>41</v>
      </c>
      <c r="C74" s="65"/>
      <c r="D74" s="65"/>
      <c r="E74" s="65"/>
      <c r="F74" s="65"/>
      <c r="G74" s="65">
        <f>G75+G83</f>
        <v>0</v>
      </c>
      <c r="H74" s="86">
        <f>H75+H83+H90</f>
        <v>0</v>
      </c>
    </row>
    <row r="75" spans="1:8" x14ac:dyDescent="0.25">
      <c r="A75" s="333"/>
      <c r="B75" s="357"/>
      <c r="C75" s="36" t="s">
        <v>42</v>
      </c>
      <c r="D75" s="53"/>
      <c r="E75" s="35"/>
      <c r="F75" s="35"/>
      <c r="G75" s="59">
        <f>COUNTIF(D77:D82,"nu")</f>
        <v>0</v>
      </c>
      <c r="H75" s="60">
        <f>SUMIF(D77:D82,"NU",H77:H82)</f>
        <v>0</v>
      </c>
    </row>
    <row r="76" spans="1:8" ht="15.75" thickBot="1" x14ac:dyDescent="0.3">
      <c r="A76" s="333"/>
      <c r="B76" s="357"/>
      <c r="C76" s="36" t="s">
        <v>231</v>
      </c>
      <c r="D76" s="53" t="s">
        <v>192</v>
      </c>
      <c r="E76" s="35"/>
      <c r="F76" s="35"/>
      <c r="G76" s="61">
        <f>COUNTIF(D77:D82,"da")</f>
        <v>0</v>
      </c>
      <c r="H76" s="62">
        <f>SUMIF(D77:D82,"DA",H77:H82)</f>
        <v>0</v>
      </c>
    </row>
    <row r="77" spans="1:8" x14ac:dyDescent="0.25">
      <c r="A77" s="333"/>
      <c r="B77" s="358"/>
      <c r="C77" s="44"/>
      <c r="D77" s="55"/>
      <c r="E77" s="36"/>
      <c r="F77" s="36"/>
      <c r="G77" s="36"/>
      <c r="H77" s="56">
        <f t="shared" ref="H77:H82" si="4">IF(C77=0,0,10)</f>
        <v>0</v>
      </c>
    </row>
    <row r="78" spans="1:8" x14ac:dyDescent="0.25">
      <c r="A78" s="333"/>
      <c r="B78" s="358"/>
      <c r="C78" s="44"/>
      <c r="D78" s="55"/>
      <c r="E78" s="36"/>
      <c r="F78" s="36"/>
      <c r="G78" s="36"/>
      <c r="H78" s="56">
        <f t="shared" si="4"/>
        <v>0</v>
      </c>
    </row>
    <row r="79" spans="1:8" x14ac:dyDescent="0.25">
      <c r="A79" s="333"/>
      <c r="B79" s="358"/>
      <c r="C79" s="44"/>
      <c r="D79" s="55"/>
      <c r="E79" s="36"/>
      <c r="F79" s="36"/>
      <c r="G79" s="36"/>
      <c r="H79" s="56">
        <f t="shared" si="4"/>
        <v>0</v>
      </c>
    </row>
    <row r="80" spans="1:8" x14ac:dyDescent="0.25">
      <c r="A80" s="333"/>
      <c r="B80" s="358"/>
      <c r="C80" s="44"/>
      <c r="D80" s="55"/>
      <c r="E80" s="36"/>
      <c r="F80" s="36"/>
      <c r="G80" s="36"/>
      <c r="H80" s="56">
        <f t="shared" si="4"/>
        <v>0</v>
      </c>
    </row>
    <row r="81" spans="1:8" x14ac:dyDescent="0.25">
      <c r="A81" s="333"/>
      <c r="B81" s="358"/>
      <c r="C81" s="44"/>
      <c r="D81" s="55"/>
      <c r="E81" s="36"/>
      <c r="F81" s="36"/>
      <c r="G81" s="36"/>
      <c r="H81" s="56">
        <f t="shared" si="4"/>
        <v>0</v>
      </c>
    </row>
    <row r="82" spans="1:8" ht="15.75" thickBot="1" x14ac:dyDescent="0.3">
      <c r="A82" s="333"/>
      <c r="B82" s="358"/>
      <c r="C82" s="44"/>
      <c r="D82" s="55"/>
      <c r="E82" s="36"/>
      <c r="F82" s="36"/>
      <c r="G82" s="36"/>
      <c r="H82" s="56">
        <f t="shared" si="4"/>
        <v>0</v>
      </c>
    </row>
    <row r="83" spans="1:8" x14ac:dyDescent="0.25">
      <c r="A83" s="333"/>
      <c r="B83" s="358"/>
      <c r="C83" s="36" t="s">
        <v>48</v>
      </c>
      <c r="D83" s="36"/>
      <c r="E83" s="36"/>
      <c r="F83" s="36"/>
      <c r="G83" s="59">
        <f>COUNTIF(D85:D89,"nu")</f>
        <v>0</v>
      </c>
      <c r="H83" s="60">
        <f>SUMIF(D85:D89,"NU",H85:H89)</f>
        <v>0</v>
      </c>
    </row>
    <row r="84" spans="1:8" ht="15.75" thickBot="1" x14ac:dyDescent="0.3">
      <c r="A84" s="333"/>
      <c r="B84" s="358"/>
      <c r="C84" s="36" t="s">
        <v>232</v>
      </c>
      <c r="D84" s="53" t="s">
        <v>192</v>
      </c>
      <c r="E84" s="36"/>
      <c r="F84" s="36" t="s">
        <v>11</v>
      </c>
      <c r="G84" s="61">
        <f>COUNTIF(D85:D89,"da")</f>
        <v>0</v>
      </c>
      <c r="H84" s="62">
        <f>SUMIF(D85:D89,"DA",H85:H89)</f>
        <v>0</v>
      </c>
    </row>
    <row r="85" spans="1:8" x14ac:dyDescent="0.25">
      <c r="A85" s="333"/>
      <c r="B85" s="358"/>
      <c r="C85" s="44"/>
      <c r="D85" s="55"/>
      <c r="E85" s="44"/>
      <c r="F85" s="44"/>
      <c r="G85" s="36"/>
      <c r="H85" s="56">
        <f>IF(F85=0,0,10/F85)</f>
        <v>0</v>
      </c>
    </row>
    <row r="86" spans="1:8" x14ac:dyDescent="0.25">
      <c r="A86" s="333"/>
      <c r="B86" s="358"/>
      <c r="C86" s="44"/>
      <c r="D86" s="55"/>
      <c r="E86" s="44"/>
      <c r="F86" s="44"/>
      <c r="G86" s="36"/>
      <c r="H86" s="56">
        <f>IF(F86=0,0,10/F86)</f>
        <v>0</v>
      </c>
    </row>
    <row r="87" spans="1:8" x14ac:dyDescent="0.25">
      <c r="A87" s="333"/>
      <c r="B87" s="358"/>
      <c r="C87" s="44"/>
      <c r="D87" s="55"/>
      <c r="E87" s="44"/>
      <c r="F87" s="44"/>
      <c r="G87" s="36"/>
      <c r="H87" s="56">
        <f>IF(F87=0,0,10/F87)</f>
        <v>0</v>
      </c>
    </row>
    <row r="88" spans="1:8" x14ac:dyDescent="0.25">
      <c r="A88" s="333"/>
      <c r="B88" s="358"/>
      <c r="C88" s="44"/>
      <c r="D88" s="55"/>
      <c r="E88" s="44"/>
      <c r="F88" s="44"/>
      <c r="G88" s="36"/>
      <c r="H88" s="56">
        <f>IF(F88=0,0,10/F88)</f>
        <v>0</v>
      </c>
    </row>
    <row r="89" spans="1:8" ht="15.75" thickBot="1" x14ac:dyDescent="0.3">
      <c r="A89" s="333"/>
      <c r="B89" s="358"/>
      <c r="C89" s="44"/>
      <c r="D89" s="55"/>
      <c r="E89" s="44"/>
      <c r="F89" s="44"/>
      <c r="G89" s="36"/>
      <c r="H89" s="56">
        <f>IF(F89=0,0,10/F89)</f>
        <v>0</v>
      </c>
    </row>
    <row r="90" spans="1:8" x14ac:dyDescent="0.25">
      <c r="A90" s="333"/>
      <c r="B90" s="358"/>
      <c r="C90" s="36" t="s">
        <v>436</v>
      </c>
      <c r="D90" s="36"/>
      <c r="E90" s="36"/>
      <c r="F90" s="36"/>
      <c r="G90" s="59">
        <f>COUNTIF(D92:D98,"nu")</f>
        <v>0</v>
      </c>
      <c r="H90" s="60">
        <f>SUMIF(D92:D98,"NU",H92:H98)</f>
        <v>0</v>
      </c>
    </row>
    <row r="91" spans="1:8" ht="15.75" thickBot="1" x14ac:dyDescent="0.3">
      <c r="A91" s="333"/>
      <c r="B91" s="358"/>
      <c r="C91" s="36" t="s">
        <v>437</v>
      </c>
      <c r="D91" s="53" t="s">
        <v>192</v>
      </c>
      <c r="E91" s="36"/>
      <c r="F91" s="36"/>
      <c r="G91" s="61">
        <f>COUNTIF(D92:D98,"da")</f>
        <v>0</v>
      </c>
      <c r="H91" s="62">
        <f>SUMIF(D92:D98,"DA",H92:H98)</f>
        <v>0</v>
      </c>
    </row>
    <row r="92" spans="1:8" x14ac:dyDescent="0.25">
      <c r="A92" s="333"/>
      <c r="B92" s="358"/>
      <c r="C92" s="44"/>
      <c r="D92" s="55"/>
      <c r="E92" s="36"/>
      <c r="F92" s="36"/>
      <c r="G92" s="36"/>
      <c r="H92" s="56">
        <f t="shared" ref="H92:H98" si="5">IF(C92=0,0,3)</f>
        <v>0</v>
      </c>
    </row>
    <row r="93" spans="1:8" x14ac:dyDescent="0.25">
      <c r="A93" s="333"/>
      <c r="B93" s="359"/>
      <c r="C93" s="44"/>
      <c r="D93" s="209"/>
      <c r="E93" s="57"/>
      <c r="F93" s="57"/>
      <c r="G93" s="57"/>
      <c r="H93" s="56">
        <f t="shared" si="5"/>
        <v>0</v>
      </c>
    </row>
    <row r="94" spans="1:8" x14ac:dyDescent="0.25">
      <c r="A94" s="333"/>
      <c r="B94" s="359"/>
      <c r="C94" s="44"/>
      <c r="D94" s="209"/>
      <c r="E94" s="57"/>
      <c r="F94" s="57"/>
      <c r="G94" s="57"/>
      <c r="H94" s="56">
        <f>IF(C94=0,0,3)</f>
        <v>0</v>
      </c>
    </row>
    <row r="95" spans="1:8" x14ac:dyDescent="0.25">
      <c r="A95" s="333"/>
      <c r="B95" s="359"/>
      <c r="C95" s="44"/>
      <c r="D95" s="209"/>
      <c r="E95" s="57"/>
      <c r="F95" s="57"/>
      <c r="G95" s="57"/>
      <c r="H95" s="56">
        <f t="shared" si="5"/>
        <v>0</v>
      </c>
    </row>
    <row r="96" spans="1:8" x14ac:dyDescent="0.25">
      <c r="A96" s="333"/>
      <c r="B96" s="359"/>
      <c r="C96" s="44"/>
      <c r="D96" s="209"/>
      <c r="E96" s="57"/>
      <c r="F96" s="57"/>
      <c r="G96" s="57"/>
      <c r="H96" s="56">
        <f t="shared" si="5"/>
        <v>0</v>
      </c>
    </row>
    <row r="97" spans="1:10" x14ac:dyDescent="0.25">
      <c r="A97" s="333"/>
      <c r="B97" s="359"/>
      <c r="C97" s="44"/>
      <c r="D97" s="209"/>
      <c r="E97" s="57"/>
      <c r="F97" s="57"/>
      <c r="G97" s="57"/>
      <c r="H97" s="56">
        <f t="shared" si="5"/>
        <v>0</v>
      </c>
    </row>
    <row r="98" spans="1:10" ht="15.75" thickBot="1" x14ac:dyDescent="0.3">
      <c r="A98" s="342"/>
      <c r="B98" s="359"/>
      <c r="C98" s="44"/>
      <c r="D98" s="209"/>
      <c r="E98" s="57"/>
      <c r="F98" s="57"/>
      <c r="G98" s="57"/>
      <c r="H98" s="56">
        <f t="shared" si="5"/>
        <v>0</v>
      </c>
    </row>
    <row r="99" spans="1:10" ht="15.75" thickBot="1" x14ac:dyDescent="0.3">
      <c r="A99" s="335" t="s">
        <v>233</v>
      </c>
      <c r="B99" s="37" t="s">
        <v>43</v>
      </c>
      <c r="C99" s="38"/>
      <c r="D99" s="38"/>
      <c r="E99" s="38"/>
      <c r="F99" s="38"/>
      <c r="G99" s="38">
        <f>G100+G119</f>
        <v>0</v>
      </c>
      <c r="H99" s="75">
        <f>H100+H119+H136</f>
        <v>0</v>
      </c>
    </row>
    <row r="100" spans="1:10" x14ac:dyDescent="0.25">
      <c r="A100" s="333"/>
      <c r="B100" s="357"/>
      <c r="C100" s="36" t="s">
        <v>46</v>
      </c>
      <c r="D100" s="53"/>
      <c r="E100" s="35"/>
      <c r="F100" s="35"/>
      <c r="G100" s="59">
        <f>COUNTIF(D102:D118,"nu")</f>
        <v>0</v>
      </c>
      <c r="H100" s="60">
        <f>SUMIF(D102:D118,"NU",H102:H118)</f>
        <v>0</v>
      </c>
    </row>
    <row r="101" spans="1:10" ht="30.75" thickBot="1" x14ac:dyDescent="0.3">
      <c r="A101" s="333"/>
      <c r="B101" s="357"/>
      <c r="C101" s="36" t="s">
        <v>234</v>
      </c>
      <c r="D101" s="53" t="s">
        <v>192</v>
      </c>
      <c r="E101" s="221" t="s">
        <v>238</v>
      </c>
      <c r="F101" s="35"/>
      <c r="G101" s="61">
        <f>COUNTIF(D102:D118,"da")</f>
        <v>0</v>
      </c>
      <c r="H101" s="62">
        <f>SUMIF(D102:D118,"DA",H102:H118)</f>
        <v>0</v>
      </c>
      <c r="J101" s="51" t="s">
        <v>237</v>
      </c>
    </row>
    <row r="102" spans="1:10" x14ac:dyDescent="0.25">
      <c r="A102" s="333"/>
      <c r="B102" s="358"/>
      <c r="C102" s="44"/>
      <c r="D102" s="55"/>
      <c r="E102" s="55"/>
      <c r="F102" s="36"/>
      <c r="G102" s="36"/>
      <c r="H102" s="56">
        <f>IF(C102=0,0,20)</f>
        <v>0</v>
      </c>
      <c r="J102" s="51">
        <f>IF(AND(D102="da",E102="da"),1,0)</f>
        <v>0</v>
      </c>
    </row>
    <row r="103" spans="1:10" x14ac:dyDescent="0.25">
      <c r="A103" s="333"/>
      <c r="B103" s="358"/>
      <c r="C103" s="44"/>
      <c r="D103" s="55"/>
      <c r="E103" s="55"/>
      <c r="F103" s="36"/>
      <c r="G103" s="36"/>
      <c r="H103" s="56">
        <f>IF(C103=0,0,20)</f>
        <v>0</v>
      </c>
      <c r="J103" s="51">
        <f t="shared" ref="J103:J135" si="6">IF(AND(D103="da",E103="da"),1,0)</f>
        <v>0</v>
      </c>
    </row>
    <row r="104" spans="1:10" x14ac:dyDescent="0.25">
      <c r="A104" s="333"/>
      <c r="B104" s="358"/>
      <c r="C104" s="44"/>
      <c r="D104" s="55"/>
      <c r="E104" s="55"/>
      <c r="F104" s="36"/>
      <c r="G104" s="36"/>
      <c r="H104" s="56">
        <f>IF(C104=0,0,20)</f>
        <v>0</v>
      </c>
      <c r="J104" s="51">
        <f>IF(AND(D104="da",E104="da"),1,0)</f>
        <v>0</v>
      </c>
    </row>
    <row r="105" spans="1:10" x14ac:dyDescent="0.25">
      <c r="A105" s="333"/>
      <c r="B105" s="358"/>
      <c r="C105" s="44"/>
      <c r="D105" s="55"/>
      <c r="E105" s="55"/>
      <c r="F105" s="36"/>
      <c r="G105" s="36"/>
      <c r="H105" s="56">
        <f t="shared" ref="H105:H117" si="7">IF(C105=0,0,20)</f>
        <v>0</v>
      </c>
      <c r="J105" s="51">
        <f t="shared" si="6"/>
        <v>0</v>
      </c>
    </row>
    <row r="106" spans="1:10" x14ac:dyDescent="0.25">
      <c r="A106" s="333"/>
      <c r="B106" s="358"/>
      <c r="C106" s="44"/>
      <c r="D106" s="55"/>
      <c r="E106" s="55"/>
      <c r="F106" s="36"/>
      <c r="G106" s="36"/>
      <c r="H106" s="56">
        <f t="shared" si="7"/>
        <v>0</v>
      </c>
      <c r="J106" s="51">
        <f t="shared" si="6"/>
        <v>0</v>
      </c>
    </row>
    <row r="107" spans="1:10" x14ac:dyDescent="0.25">
      <c r="A107" s="333"/>
      <c r="B107" s="358"/>
      <c r="C107" s="44"/>
      <c r="D107" s="55"/>
      <c r="E107" s="55"/>
      <c r="F107" s="36"/>
      <c r="G107" s="36"/>
      <c r="H107" s="56">
        <f t="shared" si="7"/>
        <v>0</v>
      </c>
      <c r="J107" s="51">
        <f t="shared" si="6"/>
        <v>0</v>
      </c>
    </row>
    <row r="108" spans="1:10" x14ac:dyDescent="0.25">
      <c r="A108" s="333"/>
      <c r="B108" s="358"/>
      <c r="C108" s="44"/>
      <c r="D108" s="55"/>
      <c r="E108" s="55"/>
      <c r="F108" s="36"/>
      <c r="G108" s="36"/>
      <c r="H108" s="56">
        <f t="shared" si="7"/>
        <v>0</v>
      </c>
      <c r="J108" s="51">
        <f t="shared" si="6"/>
        <v>0</v>
      </c>
    </row>
    <row r="109" spans="1:10" x14ac:dyDescent="0.25">
      <c r="A109" s="333"/>
      <c r="B109" s="358"/>
      <c r="C109" s="44"/>
      <c r="D109" s="55"/>
      <c r="E109" s="55"/>
      <c r="F109" s="36"/>
      <c r="G109" s="36"/>
      <c r="H109" s="56">
        <f t="shared" si="7"/>
        <v>0</v>
      </c>
      <c r="J109" s="51">
        <f t="shared" si="6"/>
        <v>0</v>
      </c>
    </row>
    <row r="110" spans="1:10" x14ac:dyDescent="0.25">
      <c r="A110" s="333"/>
      <c r="B110" s="358"/>
      <c r="C110" s="44"/>
      <c r="D110" s="55"/>
      <c r="E110" s="55"/>
      <c r="F110" s="36"/>
      <c r="G110" s="36"/>
      <c r="H110" s="56">
        <f t="shared" si="7"/>
        <v>0</v>
      </c>
      <c r="J110" s="51">
        <f t="shared" si="6"/>
        <v>0</v>
      </c>
    </row>
    <row r="111" spans="1:10" x14ac:dyDescent="0.25">
      <c r="A111" s="333"/>
      <c r="B111" s="358"/>
      <c r="C111" s="44"/>
      <c r="D111" s="55"/>
      <c r="E111" s="55"/>
      <c r="F111" s="36"/>
      <c r="G111" s="36"/>
      <c r="H111" s="56">
        <f t="shared" si="7"/>
        <v>0</v>
      </c>
      <c r="J111" s="51">
        <f t="shared" si="6"/>
        <v>0</v>
      </c>
    </row>
    <row r="112" spans="1:10" x14ac:dyDescent="0.25">
      <c r="A112" s="333"/>
      <c r="B112" s="358"/>
      <c r="C112" s="44"/>
      <c r="D112" s="55"/>
      <c r="E112" s="55"/>
      <c r="F112" s="36"/>
      <c r="G112" s="36"/>
      <c r="H112" s="56">
        <f t="shared" si="7"/>
        <v>0</v>
      </c>
      <c r="J112" s="51">
        <f t="shared" si="6"/>
        <v>0</v>
      </c>
    </row>
    <row r="113" spans="1:10" x14ac:dyDescent="0.25">
      <c r="A113" s="333"/>
      <c r="B113" s="358"/>
      <c r="C113" s="44"/>
      <c r="D113" s="55"/>
      <c r="E113" s="55"/>
      <c r="F113" s="36"/>
      <c r="G113" s="36"/>
      <c r="H113" s="56">
        <f t="shared" si="7"/>
        <v>0</v>
      </c>
      <c r="J113" s="51">
        <f t="shared" si="6"/>
        <v>0</v>
      </c>
    </row>
    <row r="114" spans="1:10" x14ac:dyDescent="0.25">
      <c r="A114" s="333"/>
      <c r="B114" s="358"/>
      <c r="C114" s="44"/>
      <c r="D114" s="55"/>
      <c r="E114" s="55"/>
      <c r="F114" s="36"/>
      <c r="G114" s="36"/>
      <c r="H114" s="56">
        <f t="shared" si="7"/>
        <v>0</v>
      </c>
      <c r="J114" s="51">
        <f t="shared" si="6"/>
        <v>0</v>
      </c>
    </row>
    <row r="115" spans="1:10" x14ac:dyDescent="0.25">
      <c r="A115" s="333"/>
      <c r="B115" s="358"/>
      <c r="C115" s="44"/>
      <c r="D115" s="55"/>
      <c r="E115" s="55"/>
      <c r="F115" s="36"/>
      <c r="G115" s="36"/>
      <c r="H115" s="56">
        <f t="shared" si="7"/>
        <v>0</v>
      </c>
      <c r="J115" s="51">
        <f t="shared" si="6"/>
        <v>0</v>
      </c>
    </row>
    <row r="116" spans="1:10" x14ac:dyDescent="0.25">
      <c r="A116" s="333"/>
      <c r="B116" s="358"/>
      <c r="C116" s="44"/>
      <c r="D116" s="55"/>
      <c r="E116" s="55"/>
      <c r="F116" s="36"/>
      <c r="G116" s="36"/>
      <c r="H116" s="56">
        <f t="shared" si="7"/>
        <v>0</v>
      </c>
      <c r="J116" s="51">
        <f t="shared" si="6"/>
        <v>0</v>
      </c>
    </row>
    <row r="117" spans="1:10" x14ac:dyDescent="0.25">
      <c r="A117" s="333"/>
      <c r="B117" s="358"/>
      <c r="C117" s="44"/>
      <c r="D117" s="55"/>
      <c r="E117" s="55"/>
      <c r="F117" s="36"/>
      <c r="G117" s="36"/>
      <c r="H117" s="56">
        <f t="shared" si="7"/>
        <v>0</v>
      </c>
      <c r="J117" s="51">
        <f t="shared" si="6"/>
        <v>0</v>
      </c>
    </row>
    <row r="118" spans="1:10" ht="15.75" thickBot="1" x14ac:dyDescent="0.3">
      <c r="A118" s="333"/>
      <c r="B118" s="358"/>
      <c r="C118" s="44"/>
      <c r="D118" s="55"/>
      <c r="E118" s="55"/>
      <c r="F118" s="36"/>
      <c r="G118" s="36"/>
      <c r="H118" s="56">
        <f>IF(C118=0,0,20)</f>
        <v>0</v>
      </c>
      <c r="J118" s="51">
        <f t="shared" si="6"/>
        <v>0</v>
      </c>
    </row>
    <row r="119" spans="1:10" x14ac:dyDescent="0.25">
      <c r="A119" s="333"/>
      <c r="B119" s="358"/>
      <c r="C119" s="36" t="s">
        <v>49</v>
      </c>
      <c r="D119" s="36"/>
      <c r="E119" s="222"/>
      <c r="F119" s="36"/>
      <c r="G119" s="59">
        <f>COUNTIF(D121:D135,"nu")</f>
        <v>0</v>
      </c>
      <c r="H119" s="60">
        <f>SUMIF(D121:D135,"NU",H121:H135)</f>
        <v>0</v>
      </c>
      <c r="J119" s="51">
        <f t="shared" si="6"/>
        <v>0</v>
      </c>
    </row>
    <row r="120" spans="1:10" ht="30.75" thickBot="1" x14ac:dyDescent="0.3">
      <c r="A120" s="333"/>
      <c r="B120" s="358"/>
      <c r="C120" s="36" t="s">
        <v>235</v>
      </c>
      <c r="D120" s="53" t="s">
        <v>192</v>
      </c>
      <c r="E120" s="221" t="s">
        <v>238</v>
      </c>
      <c r="F120" s="36" t="s">
        <v>11</v>
      </c>
      <c r="G120" s="61">
        <f>COUNTIF(D121:D135,"da")</f>
        <v>0</v>
      </c>
      <c r="H120" s="62">
        <f>SUMIF(D121:D135,"DA",H121:H135)</f>
        <v>0</v>
      </c>
      <c r="J120" s="51">
        <f t="shared" si="6"/>
        <v>0</v>
      </c>
    </row>
    <row r="121" spans="1:10" x14ac:dyDescent="0.25">
      <c r="A121" s="333"/>
      <c r="B121" s="358"/>
      <c r="C121" s="44"/>
      <c r="D121" s="55"/>
      <c r="E121" s="55"/>
      <c r="F121" s="44"/>
      <c r="G121" s="36"/>
      <c r="H121" s="56">
        <f>IF(F121=0,0,20/F121)</f>
        <v>0</v>
      </c>
      <c r="J121" s="51">
        <f t="shared" si="6"/>
        <v>0</v>
      </c>
    </row>
    <row r="122" spans="1:10" x14ac:dyDescent="0.25">
      <c r="A122" s="333"/>
      <c r="B122" s="358"/>
      <c r="C122" s="44"/>
      <c r="D122" s="55"/>
      <c r="E122" s="55"/>
      <c r="F122" s="44"/>
      <c r="G122" s="36"/>
      <c r="H122" s="56">
        <f t="shared" ref="H122:H133" si="8">IF(F122=0,0,20/F122)</f>
        <v>0</v>
      </c>
      <c r="J122" s="51">
        <f t="shared" si="6"/>
        <v>0</v>
      </c>
    </row>
    <row r="123" spans="1:10" x14ac:dyDescent="0.25">
      <c r="A123" s="333"/>
      <c r="B123" s="358"/>
      <c r="C123" s="44"/>
      <c r="D123" s="55"/>
      <c r="E123" s="55"/>
      <c r="F123" s="44"/>
      <c r="G123" s="36"/>
      <c r="H123" s="56">
        <f>IF(F123=0,0,20/F123)</f>
        <v>0</v>
      </c>
      <c r="J123" s="51">
        <f t="shared" si="6"/>
        <v>0</v>
      </c>
    </row>
    <row r="124" spans="1:10" x14ac:dyDescent="0.25">
      <c r="A124" s="333"/>
      <c r="B124" s="358"/>
      <c r="C124" s="44"/>
      <c r="D124" s="55"/>
      <c r="E124" s="55"/>
      <c r="F124" s="44"/>
      <c r="G124" s="36"/>
      <c r="H124" s="56">
        <f t="shared" si="8"/>
        <v>0</v>
      </c>
      <c r="J124" s="51">
        <f t="shared" si="6"/>
        <v>0</v>
      </c>
    </row>
    <row r="125" spans="1:10" x14ac:dyDescent="0.25">
      <c r="A125" s="333"/>
      <c r="B125" s="358"/>
      <c r="C125" s="44"/>
      <c r="D125" s="55"/>
      <c r="E125" s="55"/>
      <c r="F125" s="44"/>
      <c r="G125" s="36"/>
      <c r="H125" s="56">
        <f t="shared" si="8"/>
        <v>0</v>
      </c>
      <c r="J125" s="51">
        <f t="shared" si="6"/>
        <v>0</v>
      </c>
    </row>
    <row r="126" spans="1:10" x14ac:dyDescent="0.25">
      <c r="A126" s="333"/>
      <c r="B126" s="358"/>
      <c r="C126" s="44"/>
      <c r="D126" s="55"/>
      <c r="E126" s="55"/>
      <c r="F126" s="44"/>
      <c r="G126" s="36"/>
      <c r="H126" s="56">
        <f t="shared" si="8"/>
        <v>0</v>
      </c>
      <c r="J126" s="51">
        <f t="shared" si="6"/>
        <v>0</v>
      </c>
    </row>
    <row r="127" spans="1:10" x14ac:dyDescent="0.25">
      <c r="A127" s="333"/>
      <c r="B127" s="358"/>
      <c r="C127" s="44"/>
      <c r="D127" s="55"/>
      <c r="E127" s="55"/>
      <c r="F127" s="44"/>
      <c r="G127" s="36"/>
      <c r="H127" s="56">
        <f t="shared" si="8"/>
        <v>0</v>
      </c>
      <c r="J127" s="51">
        <f t="shared" si="6"/>
        <v>0</v>
      </c>
    </row>
    <row r="128" spans="1:10" x14ac:dyDescent="0.25">
      <c r="A128" s="333"/>
      <c r="B128" s="358"/>
      <c r="C128" s="44"/>
      <c r="D128" s="55"/>
      <c r="E128" s="55"/>
      <c r="F128" s="44"/>
      <c r="G128" s="36"/>
      <c r="H128" s="56">
        <f t="shared" si="8"/>
        <v>0</v>
      </c>
      <c r="J128" s="51">
        <f t="shared" si="6"/>
        <v>0</v>
      </c>
    </row>
    <row r="129" spans="1:10" x14ac:dyDescent="0.25">
      <c r="A129" s="333"/>
      <c r="B129" s="358"/>
      <c r="C129" s="44"/>
      <c r="D129" s="55"/>
      <c r="E129" s="55"/>
      <c r="F129" s="44"/>
      <c r="G129" s="36"/>
      <c r="H129" s="56">
        <f t="shared" si="8"/>
        <v>0</v>
      </c>
      <c r="J129" s="51">
        <f t="shared" si="6"/>
        <v>0</v>
      </c>
    </row>
    <row r="130" spans="1:10" x14ac:dyDescent="0.25">
      <c r="A130" s="333"/>
      <c r="B130" s="358"/>
      <c r="C130" s="44"/>
      <c r="D130" s="55"/>
      <c r="E130" s="55"/>
      <c r="F130" s="44"/>
      <c r="G130" s="36"/>
      <c r="H130" s="56">
        <f t="shared" si="8"/>
        <v>0</v>
      </c>
      <c r="J130" s="51">
        <f t="shared" si="6"/>
        <v>0</v>
      </c>
    </row>
    <row r="131" spans="1:10" x14ac:dyDescent="0.25">
      <c r="A131" s="333"/>
      <c r="B131" s="358"/>
      <c r="C131" s="44"/>
      <c r="D131" s="55"/>
      <c r="E131" s="55"/>
      <c r="F131" s="44"/>
      <c r="G131" s="36"/>
      <c r="H131" s="56">
        <f t="shared" si="8"/>
        <v>0</v>
      </c>
      <c r="J131" s="51">
        <f t="shared" si="6"/>
        <v>0</v>
      </c>
    </row>
    <row r="132" spans="1:10" x14ac:dyDescent="0.25">
      <c r="A132" s="333"/>
      <c r="B132" s="358"/>
      <c r="C132" s="44"/>
      <c r="D132" s="55"/>
      <c r="E132" s="55"/>
      <c r="F132" s="44"/>
      <c r="G132" s="36"/>
      <c r="H132" s="56">
        <f t="shared" si="8"/>
        <v>0</v>
      </c>
      <c r="J132" s="51">
        <f t="shared" si="6"/>
        <v>0</v>
      </c>
    </row>
    <row r="133" spans="1:10" x14ac:dyDescent="0.25">
      <c r="A133" s="333"/>
      <c r="B133" s="358"/>
      <c r="C133" s="44"/>
      <c r="D133" s="55"/>
      <c r="E133" s="55"/>
      <c r="F133" s="44"/>
      <c r="G133" s="36"/>
      <c r="H133" s="56">
        <f t="shared" si="8"/>
        <v>0</v>
      </c>
      <c r="J133" s="51">
        <f t="shared" si="6"/>
        <v>0</v>
      </c>
    </row>
    <row r="134" spans="1:10" x14ac:dyDescent="0.25">
      <c r="A134" s="333"/>
      <c r="B134" s="358"/>
      <c r="C134" s="44"/>
      <c r="D134" s="55"/>
      <c r="E134" s="55"/>
      <c r="F134" s="44"/>
      <c r="G134" s="36"/>
      <c r="H134" s="56">
        <f>IF(F134=0,0,20/F134)</f>
        <v>0</v>
      </c>
      <c r="J134" s="51">
        <f t="shared" si="6"/>
        <v>0</v>
      </c>
    </row>
    <row r="135" spans="1:10" ht="15.75" thickBot="1" x14ac:dyDescent="0.3">
      <c r="A135" s="333"/>
      <c r="B135" s="358"/>
      <c r="C135" s="44"/>
      <c r="D135" s="55"/>
      <c r="E135" s="55"/>
      <c r="F135" s="44"/>
      <c r="G135" s="36"/>
      <c r="H135" s="56">
        <f>IF(F135=0,0,20/F135)</f>
        <v>0</v>
      </c>
      <c r="J135" s="51">
        <f t="shared" si="6"/>
        <v>0</v>
      </c>
    </row>
    <row r="136" spans="1:10" x14ac:dyDescent="0.25">
      <c r="A136" s="333"/>
      <c r="B136" s="358"/>
      <c r="C136" s="36" t="s">
        <v>438</v>
      </c>
      <c r="D136" s="36"/>
      <c r="E136" s="222"/>
      <c r="F136" s="36"/>
      <c r="G136" s="59">
        <f>COUNTIF(D138:D150,"nu")</f>
        <v>0</v>
      </c>
      <c r="H136" s="60">
        <f>SUMIF(D138:D150,"NU",H138:H150)</f>
        <v>0</v>
      </c>
    </row>
    <row r="137" spans="1:10" ht="15.75" thickBot="1" x14ac:dyDescent="0.3">
      <c r="A137" s="333"/>
      <c r="B137" s="358"/>
      <c r="C137" s="36" t="s">
        <v>439</v>
      </c>
      <c r="D137" s="53" t="s">
        <v>192</v>
      </c>
      <c r="E137" s="221"/>
      <c r="F137" s="36"/>
      <c r="G137" s="61">
        <f>COUNTIF(D138:D150,"da")</f>
        <v>0</v>
      </c>
      <c r="H137" s="62">
        <f>SUMIF(D138:D150,"DA",H138:H150)</f>
        <v>0</v>
      </c>
    </row>
    <row r="138" spans="1:10" x14ac:dyDescent="0.25">
      <c r="A138" s="333"/>
      <c r="B138" s="358"/>
      <c r="C138" s="44"/>
      <c r="D138" s="55"/>
      <c r="E138" s="55"/>
      <c r="F138" s="36"/>
      <c r="G138" s="36"/>
      <c r="H138" s="56">
        <f>IF(C138=0,0,6)</f>
        <v>0</v>
      </c>
    </row>
    <row r="139" spans="1:10" x14ac:dyDescent="0.25">
      <c r="A139" s="333"/>
      <c r="B139" s="359"/>
      <c r="C139" s="44"/>
      <c r="D139" s="209"/>
      <c r="E139" s="209"/>
      <c r="F139" s="57"/>
      <c r="G139" s="57"/>
      <c r="H139" s="56">
        <f t="shared" ref="H139:H148" si="9">IF(C139=0,0,6)</f>
        <v>0</v>
      </c>
    </row>
    <row r="140" spans="1:10" x14ac:dyDescent="0.25">
      <c r="A140" s="333"/>
      <c r="B140" s="359"/>
      <c r="C140" s="44"/>
      <c r="D140" s="209"/>
      <c r="E140" s="209"/>
      <c r="F140" s="57"/>
      <c r="G140" s="57"/>
      <c r="H140" s="56">
        <f t="shared" si="9"/>
        <v>0</v>
      </c>
    </row>
    <row r="141" spans="1:10" x14ac:dyDescent="0.25">
      <c r="A141" s="333"/>
      <c r="B141" s="359"/>
      <c r="C141" s="44"/>
      <c r="D141" s="209"/>
      <c r="E141" s="209"/>
      <c r="F141" s="57"/>
      <c r="G141" s="57"/>
      <c r="H141" s="56">
        <f t="shared" si="9"/>
        <v>0</v>
      </c>
    </row>
    <row r="142" spans="1:10" x14ac:dyDescent="0.25">
      <c r="A142" s="333"/>
      <c r="B142" s="359"/>
      <c r="C142" s="44"/>
      <c r="D142" s="209"/>
      <c r="E142" s="209"/>
      <c r="F142" s="57"/>
      <c r="G142" s="57"/>
      <c r="H142" s="56">
        <f t="shared" si="9"/>
        <v>0</v>
      </c>
    </row>
    <row r="143" spans="1:10" x14ac:dyDescent="0.25">
      <c r="A143" s="333"/>
      <c r="B143" s="359"/>
      <c r="C143" s="44"/>
      <c r="D143" s="209"/>
      <c r="E143" s="209"/>
      <c r="F143" s="57"/>
      <c r="G143" s="57"/>
      <c r="H143" s="56">
        <f t="shared" si="9"/>
        <v>0</v>
      </c>
    </row>
    <row r="144" spans="1:10" x14ac:dyDescent="0.25">
      <c r="A144" s="333"/>
      <c r="B144" s="359"/>
      <c r="C144" s="44"/>
      <c r="D144" s="209"/>
      <c r="E144" s="209"/>
      <c r="F144" s="57"/>
      <c r="G144" s="57"/>
      <c r="H144" s="56">
        <f t="shared" si="9"/>
        <v>0</v>
      </c>
    </row>
    <row r="145" spans="1:8" x14ac:dyDescent="0.25">
      <c r="A145" s="333"/>
      <c r="B145" s="359"/>
      <c r="C145" s="44"/>
      <c r="D145" s="209"/>
      <c r="E145" s="209"/>
      <c r="F145" s="57"/>
      <c r="G145" s="57"/>
      <c r="H145" s="56">
        <f t="shared" si="9"/>
        <v>0</v>
      </c>
    </row>
    <row r="146" spans="1:8" x14ac:dyDescent="0.25">
      <c r="A146" s="333"/>
      <c r="B146" s="359"/>
      <c r="C146" s="44"/>
      <c r="D146" s="209"/>
      <c r="E146" s="209"/>
      <c r="F146" s="57"/>
      <c r="G146" s="57"/>
      <c r="H146" s="56">
        <f t="shared" si="9"/>
        <v>0</v>
      </c>
    </row>
    <row r="147" spans="1:8" x14ac:dyDescent="0.25">
      <c r="A147" s="333"/>
      <c r="B147" s="359"/>
      <c r="C147" s="44"/>
      <c r="D147" s="209"/>
      <c r="E147" s="209"/>
      <c r="F147" s="57"/>
      <c r="G147" s="57"/>
      <c r="H147" s="56">
        <f t="shared" si="9"/>
        <v>0</v>
      </c>
    </row>
    <row r="148" spans="1:8" x14ac:dyDescent="0.25">
      <c r="A148" s="333"/>
      <c r="B148" s="359"/>
      <c r="C148" s="44"/>
      <c r="D148" s="209"/>
      <c r="E148" s="209"/>
      <c r="F148" s="57"/>
      <c r="G148" s="57"/>
      <c r="H148" s="56">
        <f t="shared" si="9"/>
        <v>0</v>
      </c>
    </row>
    <row r="149" spans="1:8" x14ac:dyDescent="0.25">
      <c r="A149" s="333"/>
      <c r="B149" s="359"/>
      <c r="C149" s="44"/>
      <c r="D149" s="209"/>
      <c r="E149" s="209"/>
      <c r="F149" s="57"/>
      <c r="G149" s="57"/>
      <c r="H149" s="56">
        <f>IF(C149=0,0,6)</f>
        <v>0</v>
      </c>
    </row>
    <row r="150" spans="1:8" ht="15.75" thickBot="1" x14ac:dyDescent="0.3">
      <c r="A150" s="333"/>
      <c r="B150" s="359"/>
      <c r="C150" s="44"/>
      <c r="D150" s="209"/>
      <c r="E150" s="63"/>
      <c r="F150" s="57"/>
      <c r="G150" s="57"/>
      <c r="H150" s="48">
        <f>IF(C150=0,0,6)</f>
        <v>0</v>
      </c>
    </row>
    <row r="151" spans="1:8" ht="15.75" thickBot="1" x14ac:dyDescent="0.3">
      <c r="A151" s="342"/>
      <c r="B151" s="359"/>
      <c r="C151" s="44" t="s">
        <v>236</v>
      </c>
      <c r="D151" s="57"/>
      <c r="E151" s="57"/>
      <c r="F151" s="57"/>
      <c r="G151" s="54">
        <f>COUNTIF(J102:J135,1)</f>
        <v>0</v>
      </c>
      <c r="H151" s="54">
        <f>COUNTIF(J102:J135,1)*10</f>
        <v>0</v>
      </c>
    </row>
    <row r="152" spans="1:8" ht="15.75" thickBot="1" x14ac:dyDescent="0.3">
      <c r="A152" s="335" t="s">
        <v>44</v>
      </c>
      <c r="B152" s="37" t="s">
        <v>45</v>
      </c>
      <c r="C152" s="38"/>
      <c r="D152" s="38"/>
      <c r="E152" s="38"/>
      <c r="F152" s="38"/>
      <c r="G152" s="38">
        <f>G153+G184</f>
        <v>0</v>
      </c>
      <c r="H152" s="75">
        <f>H153+H184</f>
        <v>0</v>
      </c>
    </row>
    <row r="153" spans="1:8" ht="15.75" thickBot="1" x14ac:dyDescent="0.3">
      <c r="A153" s="333"/>
      <c r="B153" s="352" t="s">
        <v>125</v>
      </c>
      <c r="C153" s="24" t="s">
        <v>47</v>
      </c>
      <c r="D153" s="35"/>
      <c r="E153" s="49"/>
      <c r="F153" s="49"/>
      <c r="G153" s="37">
        <f>G154+G163</f>
        <v>0</v>
      </c>
      <c r="H153" s="223">
        <f>H154+H163+H174</f>
        <v>0</v>
      </c>
    </row>
    <row r="154" spans="1:8" x14ac:dyDescent="0.25">
      <c r="A154" s="333"/>
      <c r="B154" s="353"/>
      <c r="C154" s="36" t="s">
        <v>46</v>
      </c>
      <c r="D154" s="53"/>
      <c r="E154" s="35"/>
      <c r="F154" s="35"/>
      <c r="G154" s="59">
        <f>COUNTIF(D156:D162,"nu")</f>
        <v>0</v>
      </c>
      <c r="H154" s="60">
        <f>SUMIF(D156:D162,"NU",H156:H162)</f>
        <v>0</v>
      </c>
    </row>
    <row r="155" spans="1:8" ht="15.75" thickBot="1" x14ac:dyDescent="0.3">
      <c r="A155" s="333"/>
      <c r="B155" s="353"/>
      <c r="C155" s="36" t="s">
        <v>234</v>
      </c>
      <c r="D155" s="53" t="s">
        <v>192</v>
      </c>
      <c r="E155" s="35"/>
      <c r="F155" s="35"/>
      <c r="G155" s="61">
        <f>COUNTIF(D156:D162,"da")</f>
        <v>0</v>
      </c>
      <c r="H155" s="62">
        <f>SUMIF(D156:D162,"DA",H156:H162)</f>
        <v>0</v>
      </c>
    </row>
    <row r="156" spans="1:8" x14ac:dyDescent="0.25">
      <c r="A156" s="333"/>
      <c r="B156" s="353"/>
      <c r="C156" s="44"/>
      <c r="D156" s="55"/>
      <c r="E156" s="36"/>
      <c r="F156" s="36"/>
      <c r="G156" s="36"/>
      <c r="H156" s="56">
        <f t="shared" ref="H156:H162" si="10">IF(C156=0,0,20)</f>
        <v>0</v>
      </c>
    </row>
    <row r="157" spans="1:8" x14ac:dyDescent="0.25">
      <c r="A157" s="333"/>
      <c r="B157" s="353"/>
      <c r="C157" s="44"/>
      <c r="D157" s="55"/>
      <c r="E157" s="36"/>
      <c r="F157" s="36"/>
      <c r="G157" s="36"/>
      <c r="H157" s="56">
        <f t="shared" si="10"/>
        <v>0</v>
      </c>
    </row>
    <row r="158" spans="1:8" x14ac:dyDescent="0.25">
      <c r="A158" s="333"/>
      <c r="B158" s="353"/>
      <c r="C158" s="44"/>
      <c r="D158" s="55"/>
      <c r="E158" s="36"/>
      <c r="F158" s="36"/>
      <c r="G158" s="36"/>
      <c r="H158" s="56">
        <f t="shared" si="10"/>
        <v>0</v>
      </c>
    </row>
    <row r="159" spans="1:8" x14ac:dyDescent="0.25">
      <c r="A159" s="333"/>
      <c r="B159" s="353"/>
      <c r="C159" s="44"/>
      <c r="D159" s="55"/>
      <c r="E159" s="36"/>
      <c r="F159" s="36"/>
      <c r="G159" s="36"/>
      <c r="H159" s="56">
        <f t="shared" si="10"/>
        <v>0</v>
      </c>
    </row>
    <row r="160" spans="1:8" x14ac:dyDescent="0.25">
      <c r="A160" s="333"/>
      <c r="B160" s="353"/>
      <c r="C160" s="44"/>
      <c r="D160" s="55"/>
      <c r="E160" s="36"/>
      <c r="F160" s="36"/>
      <c r="G160" s="36"/>
      <c r="H160" s="56">
        <f>IF(C160=0,0,20)</f>
        <v>0</v>
      </c>
    </row>
    <row r="161" spans="1:8" x14ac:dyDescent="0.25">
      <c r="A161" s="333"/>
      <c r="B161" s="353"/>
      <c r="C161" s="44"/>
      <c r="D161" s="55"/>
      <c r="E161" s="36"/>
      <c r="F161" s="36"/>
      <c r="G161" s="36"/>
      <c r="H161" s="56">
        <f t="shared" si="10"/>
        <v>0</v>
      </c>
    </row>
    <row r="162" spans="1:8" ht="15.75" thickBot="1" x14ac:dyDescent="0.3">
      <c r="A162" s="333"/>
      <c r="B162" s="353"/>
      <c r="C162" s="44"/>
      <c r="D162" s="55"/>
      <c r="E162" s="36"/>
      <c r="F162" s="36"/>
      <c r="G162" s="36"/>
      <c r="H162" s="56">
        <f t="shared" si="10"/>
        <v>0</v>
      </c>
    </row>
    <row r="163" spans="1:8" x14ac:dyDescent="0.25">
      <c r="A163" s="333"/>
      <c r="B163" s="353"/>
      <c r="C163" s="36" t="s">
        <v>49</v>
      </c>
      <c r="D163" s="36"/>
      <c r="E163" s="36"/>
      <c r="F163" s="36"/>
      <c r="G163" s="59">
        <f>COUNTIF(D165:D173,"nu")</f>
        <v>0</v>
      </c>
      <c r="H163" s="60">
        <f>SUMIF(D165:D173,"NU",H165:H173)</f>
        <v>0</v>
      </c>
    </row>
    <row r="164" spans="1:8" ht="15.75" thickBot="1" x14ac:dyDescent="0.3">
      <c r="A164" s="333"/>
      <c r="B164" s="353"/>
      <c r="C164" s="36" t="s">
        <v>235</v>
      </c>
      <c r="D164" s="53" t="s">
        <v>192</v>
      </c>
      <c r="E164" s="36"/>
      <c r="F164" s="36" t="s">
        <v>11</v>
      </c>
      <c r="G164" s="61">
        <f>COUNTIF(D165:D173,"da")</f>
        <v>0</v>
      </c>
      <c r="H164" s="62">
        <f>SUMIF(D165:D173,"DA",H165:H173)</f>
        <v>0</v>
      </c>
    </row>
    <row r="165" spans="1:8" x14ac:dyDescent="0.25">
      <c r="A165" s="333"/>
      <c r="B165" s="353"/>
      <c r="C165" s="44"/>
      <c r="D165" s="55"/>
      <c r="E165" s="44"/>
      <c r="F165" s="44"/>
      <c r="G165" s="36"/>
      <c r="H165" s="56">
        <f>IF(F165=0,0,20/F165)</f>
        <v>0</v>
      </c>
    </row>
    <row r="166" spans="1:8" x14ac:dyDescent="0.25">
      <c r="A166" s="333"/>
      <c r="B166" s="353"/>
      <c r="C166" s="44"/>
      <c r="D166" s="55"/>
      <c r="E166" s="44"/>
      <c r="F166" s="44"/>
      <c r="G166" s="36"/>
      <c r="H166" s="56">
        <f>IF(F166=0,0,20/F166)</f>
        <v>0</v>
      </c>
    </row>
    <row r="167" spans="1:8" x14ac:dyDescent="0.25">
      <c r="A167" s="333"/>
      <c r="B167" s="353"/>
      <c r="C167" s="44"/>
      <c r="D167" s="55"/>
      <c r="E167" s="44"/>
      <c r="F167" s="44"/>
      <c r="G167" s="36"/>
      <c r="H167" s="56">
        <f t="shared" ref="H167:H172" si="11">IF(F167=0,0,20/F167)</f>
        <v>0</v>
      </c>
    </row>
    <row r="168" spans="1:8" x14ac:dyDescent="0.25">
      <c r="A168" s="333"/>
      <c r="B168" s="353"/>
      <c r="C168" s="44"/>
      <c r="D168" s="55"/>
      <c r="E168" s="44"/>
      <c r="F168" s="44"/>
      <c r="G168" s="36"/>
      <c r="H168" s="56">
        <f t="shared" si="11"/>
        <v>0</v>
      </c>
    </row>
    <row r="169" spans="1:8" x14ac:dyDescent="0.25">
      <c r="A169" s="333"/>
      <c r="B169" s="353"/>
      <c r="C169" s="44"/>
      <c r="D169" s="55"/>
      <c r="E169" s="44"/>
      <c r="F169" s="44"/>
      <c r="G169" s="36"/>
      <c r="H169" s="56">
        <f t="shared" si="11"/>
        <v>0</v>
      </c>
    </row>
    <row r="170" spans="1:8" x14ac:dyDescent="0.25">
      <c r="A170" s="333"/>
      <c r="B170" s="353"/>
      <c r="C170" s="44"/>
      <c r="D170" s="55"/>
      <c r="E170" s="44"/>
      <c r="F170" s="44"/>
      <c r="G170" s="36"/>
      <c r="H170" s="56">
        <f t="shared" si="11"/>
        <v>0</v>
      </c>
    </row>
    <row r="171" spans="1:8" x14ac:dyDescent="0.25">
      <c r="A171" s="333"/>
      <c r="B171" s="353"/>
      <c r="C171" s="44"/>
      <c r="D171" s="55"/>
      <c r="E171" s="44"/>
      <c r="F171" s="44"/>
      <c r="G171" s="36"/>
      <c r="H171" s="56">
        <f t="shared" si="11"/>
        <v>0</v>
      </c>
    </row>
    <row r="172" spans="1:8" x14ac:dyDescent="0.25">
      <c r="A172" s="333"/>
      <c r="B172" s="353"/>
      <c r="C172" s="44"/>
      <c r="D172" s="55"/>
      <c r="E172" s="44"/>
      <c r="F172" s="44"/>
      <c r="G172" s="36"/>
      <c r="H172" s="56">
        <f t="shared" si="11"/>
        <v>0</v>
      </c>
    </row>
    <row r="173" spans="1:8" ht="15.75" thickBot="1" x14ac:dyDescent="0.3">
      <c r="A173" s="333"/>
      <c r="B173" s="353"/>
      <c r="C173" s="44"/>
      <c r="D173" s="55"/>
      <c r="E173" s="44"/>
      <c r="F173" s="44"/>
      <c r="G173" s="36"/>
      <c r="H173" s="56">
        <f>IF(F173=0,0,20/F173)</f>
        <v>0</v>
      </c>
    </row>
    <row r="174" spans="1:8" x14ac:dyDescent="0.25">
      <c r="A174" s="333"/>
      <c r="B174" s="353"/>
      <c r="C174" s="36" t="s">
        <v>440</v>
      </c>
      <c r="D174" s="36"/>
      <c r="E174" s="36"/>
      <c r="F174" s="36"/>
      <c r="G174" s="59">
        <f>COUNTIF(D176:D183,"nu")</f>
        <v>0</v>
      </c>
      <c r="H174" s="60">
        <f>SUMIF(D176:D183,"NU",H176:H183)</f>
        <v>0</v>
      </c>
    </row>
    <row r="175" spans="1:8" ht="15.75" thickBot="1" x14ac:dyDescent="0.3">
      <c r="A175" s="333"/>
      <c r="B175" s="353"/>
      <c r="C175" s="36" t="s">
        <v>441</v>
      </c>
      <c r="D175" s="53" t="s">
        <v>192</v>
      </c>
      <c r="E175" s="36"/>
      <c r="F175" s="36"/>
      <c r="G175" s="61">
        <f>COUNTIF(D176:D183,"da")</f>
        <v>0</v>
      </c>
      <c r="H175" s="62">
        <f>SUMIF(D176:D183,"DA",H176:H183)</f>
        <v>0</v>
      </c>
    </row>
    <row r="176" spans="1:8" x14ac:dyDescent="0.25">
      <c r="A176" s="333"/>
      <c r="B176" s="353"/>
      <c r="C176" s="44"/>
      <c r="D176" s="55"/>
      <c r="E176" s="36"/>
      <c r="F176" s="36"/>
      <c r="G176" s="36"/>
      <c r="H176" s="56">
        <f t="shared" ref="H176:H183" si="12">IF(C176=0,0,6)</f>
        <v>0</v>
      </c>
    </row>
    <row r="177" spans="1:8" x14ac:dyDescent="0.25">
      <c r="A177" s="333"/>
      <c r="B177" s="353"/>
      <c r="C177" s="44"/>
      <c r="D177" s="209"/>
      <c r="E177" s="57"/>
      <c r="F177" s="57"/>
      <c r="G177" s="57"/>
      <c r="H177" s="56">
        <f t="shared" si="12"/>
        <v>0</v>
      </c>
    </row>
    <row r="178" spans="1:8" x14ac:dyDescent="0.25">
      <c r="A178" s="333"/>
      <c r="B178" s="353"/>
      <c r="C178" s="44"/>
      <c r="D178" s="209"/>
      <c r="E178" s="57"/>
      <c r="F178" s="57"/>
      <c r="G178" s="57"/>
      <c r="H178" s="56">
        <f t="shared" si="12"/>
        <v>0</v>
      </c>
    </row>
    <row r="179" spans="1:8" x14ac:dyDescent="0.25">
      <c r="A179" s="333"/>
      <c r="B179" s="353"/>
      <c r="C179" s="44"/>
      <c r="D179" s="209"/>
      <c r="E179" s="57"/>
      <c r="F179" s="57"/>
      <c r="G179" s="57"/>
      <c r="H179" s="56">
        <f t="shared" si="12"/>
        <v>0</v>
      </c>
    </row>
    <row r="180" spans="1:8" x14ac:dyDescent="0.25">
      <c r="A180" s="333"/>
      <c r="B180" s="353"/>
      <c r="C180" s="44"/>
      <c r="D180" s="209"/>
      <c r="E180" s="57"/>
      <c r="F180" s="57"/>
      <c r="G180" s="57"/>
      <c r="H180" s="56">
        <f t="shared" si="12"/>
        <v>0</v>
      </c>
    </row>
    <row r="181" spans="1:8" x14ac:dyDescent="0.25">
      <c r="A181" s="333"/>
      <c r="B181" s="353"/>
      <c r="C181" s="44"/>
      <c r="D181" s="209"/>
      <c r="E181" s="57"/>
      <c r="F181" s="57"/>
      <c r="G181" s="57"/>
      <c r="H181" s="56">
        <f t="shared" si="12"/>
        <v>0</v>
      </c>
    </row>
    <row r="182" spans="1:8" x14ac:dyDescent="0.25">
      <c r="A182" s="333"/>
      <c r="B182" s="353"/>
      <c r="C182" s="44"/>
      <c r="D182" s="209"/>
      <c r="E182" s="57"/>
      <c r="F182" s="57"/>
      <c r="G182" s="57"/>
      <c r="H182" s="56">
        <f t="shared" si="12"/>
        <v>0</v>
      </c>
    </row>
    <row r="183" spans="1:8" ht="15.75" thickBot="1" x14ac:dyDescent="0.3">
      <c r="A183" s="333"/>
      <c r="B183" s="354"/>
      <c r="C183" s="44"/>
      <c r="D183" s="209"/>
      <c r="E183" s="57"/>
      <c r="F183" s="57"/>
      <c r="G183" s="57"/>
      <c r="H183" s="56">
        <f t="shared" si="12"/>
        <v>0</v>
      </c>
    </row>
    <row r="184" spans="1:8" ht="15.75" thickBot="1" x14ac:dyDescent="0.3">
      <c r="A184" s="333"/>
      <c r="B184" s="26" t="s">
        <v>126</v>
      </c>
      <c r="C184" s="224"/>
      <c r="D184" s="38"/>
      <c r="E184" s="38"/>
      <c r="F184" s="38"/>
      <c r="G184" s="38">
        <f>G185+G213+G244+G292+G322</f>
        <v>0</v>
      </c>
      <c r="H184" s="87">
        <f>H185+H213+H244+H322+H292</f>
        <v>0</v>
      </c>
    </row>
    <row r="185" spans="1:8" ht="15.75" thickBot="1" x14ac:dyDescent="0.3">
      <c r="A185" s="333"/>
      <c r="B185" s="355" t="s">
        <v>50</v>
      </c>
      <c r="C185" s="24" t="s">
        <v>51</v>
      </c>
      <c r="D185" s="35"/>
      <c r="E185" s="49"/>
      <c r="F185" s="49"/>
      <c r="G185" s="50">
        <f>G186+G194</f>
        <v>0</v>
      </c>
      <c r="H185" s="86">
        <f>H186+H194+H204</f>
        <v>0</v>
      </c>
    </row>
    <row r="186" spans="1:8" x14ac:dyDescent="0.25">
      <c r="A186" s="333"/>
      <c r="B186" s="353"/>
      <c r="C186" s="36" t="s">
        <v>52</v>
      </c>
      <c r="D186" s="53"/>
      <c r="E186" s="35"/>
      <c r="F186" s="35"/>
      <c r="G186" s="59">
        <f>COUNTIF(D188:D193,"nu")</f>
        <v>0</v>
      </c>
      <c r="H186" s="60">
        <f>SUMIF(D188:D193,"NU",H188:H193)</f>
        <v>0</v>
      </c>
    </row>
    <row r="187" spans="1:8" ht="15.75" thickBot="1" x14ac:dyDescent="0.3">
      <c r="A187" s="333"/>
      <c r="B187" s="353"/>
      <c r="C187" s="36" t="s">
        <v>239</v>
      </c>
      <c r="D187" s="53" t="s">
        <v>192</v>
      </c>
      <c r="E187" s="35"/>
      <c r="F187" s="35"/>
      <c r="G187" s="61">
        <f>COUNTIF(D188:D193,"da")</f>
        <v>0</v>
      </c>
      <c r="H187" s="62">
        <f>SUMIF(D188:D193,"DA",H188:H193)</f>
        <v>0</v>
      </c>
    </row>
    <row r="188" spans="1:8" x14ac:dyDescent="0.25">
      <c r="A188" s="333"/>
      <c r="B188" s="353"/>
      <c r="C188" s="44"/>
      <c r="D188" s="55"/>
      <c r="E188" s="36"/>
      <c r="F188" s="36"/>
      <c r="G188" s="36"/>
      <c r="H188" s="56">
        <f t="shared" ref="H188:H193" si="13">IF(C188=0,0,60)</f>
        <v>0</v>
      </c>
    </row>
    <row r="189" spans="1:8" x14ac:dyDescent="0.25">
      <c r="A189" s="333"/>
      <c r="B189" s="353"/>
      <c r="C189" s="44"/>
      <c r="D189" s="55"/>
      <c r="E189" s="36"/>
      <c r="F189" s="36"/>
      <c r="G189" s="36"/>
      <c r="H189" s="56">
        <f t="shared" si="13"/>
        <v>0</v>
      </c>
    </row>
    <row r="190" spans="1:8" x14ac:dyDescent="0.25">
      <c r="A190" s="333"/>
      <c r="B190" s="353"/>
      <c r="C190" s="44"/>
      <c r="D190" s="55"/>
      <c r="E190" s="36"/>
      <c r="F190" s="36"/>
      <c r="G190" s="36"/>
      <c r="H190" s="56">
        <f t="shared" si="13"/>
        <v>0</v>
      </c>
    </row>
    <row r="191" spans="1:8" x14ac:dyDescent="0.25">
      <c r="A191" s="333"/>
      <c r="B191" s="353"/>
      <c r="C191" s="44"/>
      <c r="D191" s="55"/>
      <c r="E191" s="36"/>
      <c r="F191" s="36"/>
      <c r="G191" s="36"/>
      <c r="H191" s="56">
        <f t="shared" si="13"/>
        <v>0</v>
      </c>
    </row>
    <row r="192" spans="1:8" x14ac:dyDescent="0.25">
      <c r="A192" s="333"/>
      <c r="B192" s="353"/>
      <c r="C192" s="44"/>
      <c r="D192" s="55"/>
      <c r="E192" s="36"/>
      <c r="F192" s="36"/>
      <c r="G192" s="36"/>
      <c r="H192" s="56">
        <f t="shared" si="13"/>
        <v>0</v>
      </c>
    </row>
    <row r="193" spans="1:8" ht="15.75" thickBot="1" x14ac:dyDescent="0.3">
      <c r="A193" s="333"/>
      <c r="B193" s="353"/>
      <c r="C193" s="44"/>
      <c r="D193" s="55"/>
      <c r="E193" s="36"/>
      <c r="F193" s="36"/>
      <c r="G193" s="36"/>
      <c r="H193" s="56">
        <f t="shared" si="13"/>
        <v>0</v>
      </c>
    </row>
    <row r="194" spans="1:8" x14ac:dyDescent="0.25">
      <c r="A194" s="333"/>
      <c r="B194" s="353"/>
      <c r="C194" s="36" t="s">
        <v>53</v>
      </c>
      <c r="D194" s="36"/>
      <c r="E194" s="36"/>
      <c r="F194" s="36"/>
      <c r="G194" s="59">
        <f>COUNTIF(D196:D203,"nu")</f>
        <v>0</v>
      </c>
      <c r="H194" s="60">
        <f>SUMIF(D196:D203,"NU",H196:H203)</f>
        <v>0</v>
      </c>
    </row>
    <row r="195" spans="1:8" ht="15.75" thickBot="1" x14ac:dyDescent="0.3">
      <c r="A195" s="333"/>
      <c r="B195" s="353"/>
      <c r="C195" s="36" t="s">
        <v>240</v>
      </c>
      <c r="D195" s="53" t="s">
        <v>192</v>
      </c>
      <c r="E195" s="36"/>
      <c r="F195" s="36" t="s">
        <v>11</v>
      </c>
      <c r="G195" s="61">
        <f>COUNTIF(D196:D203,"da")</f>
        <v>0</v>
      </c>
      <c r="H195" s="62">
        <f>SUMIF(D196:D203,"DA",H196:H203)</f>
        <v>0</v>
      </c>
    </row>
    <row r="196" spans="1:8" x14ac:dyDescent="0.25">
      <c r="A196" s="333"/>
      <c r="B196" s="353"/>
      <c r="C196" s="44"/>
      <c r="D196" s="55"/>
      <c r="E196" s="44"/>
      <c r="F196" s="44"/>
      <c r="G196" s="36"/>
      <c r="H196" s="56">
        <f t="shared" ref="H196:H203" si="14">IF(F196=0,0,60/F196)</f>
        <v>0</v>
      </c>
    </row>
    <row r="197" spans="1:8" x14ac:dyDescent="0.25">
      <c r="A197" s="333"/>
      <c r="B197" s="353"/>
      <c r="C197" s="44"/>
      <c r="D197" s="55"/>
      <c r="E197" s="44"/>
      <c r="F197" s="44"/>
      <c r="G197" s="36"/>
      <c r="H197" s="56">
        <f t="shared" si="14"/>
        <v>0</v>
      </c>
    </row>
    <row r="198" spans="1:8" x14ac:dyDescent="0.25">
      <c r="A198" s="333"/>
      <c r="B198" s="353"/>
      <c r="C198" s="44"/>
      <c r="D198" s="55"/>
      <c r="E198" s="44"/>
      <c r="F198" s="44"/>
      <c r="G198" s="36"/>
      <c r="H198" s="56">
        <f t="shared" si="14"/>
        <v>0</v>
      </c>
    </row>
    <row r="199" spans="1:8" x14ac:dyDescent="0.25">
      <c r="A199" s="333"/>
      <c r="B199" s="353"/>
      <c r="C199" s="44"/>
      <c r="D199" s="55"/>
      <c r="E199" s="44"/>
      <c r="F199" s="44"/>
      <c r="G199" s="36"/>
      <c r="H199" s="56">
        <f t="shared" si="14"/>
        <v>0</v>
      </c>
    </row>
    <row r="200" spans="1:8" x14ac:dyDescent="0.25">
      <c r="A200" s="333"/>
      <c r="B200" s="353"/>
      <c r="C200" s="44"/>
      <c r="D200" s="55"/>
      <c r="E200" s="44"/>
      <c r="F200" s="44"/>
      <c r="G200" s="36"/>
      <c r="H200" s="56">
        <f>IF(F200=0,0,60/F200)</f>
        <v>0</v>
      </c>
    </row>
    <row r="201" spans="1:8" x14ac:dyDescent="0.25">
      <c r="A201" s="333"/>
      <c r="B201" s="353"/>
      <c r="C201" s="44"/>
      <c r="D201" s="55"/>
      <c r="E201" s="44"/>
      <c r="F201" s="44"/>
      <c r="G201" s="36"/>
      <c r="H201" s="56">
        <f t="shared" si="14"/>
        <v>0</v>
      </c>
    </row>
    <row r="202" spans="1:8" x14ac:dyDescent="0.25">
      <c r="A202" s="333"/>
      <c r="B202" s="353"/>
      <c r="C202" s="44"/>
      <c r="D202" s="55"/>
      <c r="E202" s="44"/>
      <c r="F202" s="44"/>
      <c r="G202" s="36"/>
      <c r="H202" s="56">
        <f t="shared" si="14"/>
        <v>0</v>
      </c>
    </row>
    <row r="203" spans="1:8" ht="15.75" thickBot="1" x14ac:dyDescent="0.3">
      <c r="A203" s="333"/>
      <c r="B203" s="353"/>
      <c r="C203" s="44"/>
      <c r="D203" s="55"/>
      <c r="E203" s="44"/>
      <c r="F203" s="44"/>
      <c r="G203" s="36"/>
      <c r="H203" s="56">
        <f t="shared" si="14"/>
        <v>0</v>
      </c>
    </row>
    <row r="204" spans="1:8" x14ac:dyDescent="0.25">
      <c r="A204" s="333"/>
      <c r="B204" s="353"/>
      <c r="C204" s="36" t="s">
        <v>442</v>
      </c>
      <c r="D204" s="36"/>
      <c r="E204" s="36"/>
      <c r="F204" s="36"/>
      <c r="G204" s="59">
        <f>COUNTIF(D206:D212,"nu")</f>
        <v>0</v>
      </c>
      <c r="H204" s="60">
        <f>SUMIF(D206:D212,"NU",H206:H212)</f>
        <v>0</v>
      </c>
    </row>
    <row r="205" spans="1:8" ht="15.75" thickBot="1" x14ac:dyDescent="0.3">
      <c r="A205" s="333"/>
      <c r="B205" s="353"/>
      <c r="C205" s="36" t="s">
        <v>443</v>
      </c>
      <c r="D205" s="53" t="s">
        <v>192</v>
      </c>
      <c r="E205" s="36"/>
      <c r="F205" s="36"/>
      <c r="G205" s="61">
        <f>COUNTIF(D206:D212,"da")</f>
        <v>0</v>
      </c>
      <c r="H205" s="62">
        <f>SUMIF(D206:D212,"DA",H206:H212)</f>
        <v>0</v>
      </c>
    </row>
    <row r="206" spans="1:8" x14ac:dyDescent="0.25">
      <c r="A206" s="333"/>
      <c r="B206" s="353"/>
      <c r="C206" s="44"/>
      <c r="D206" s="55"/>
      <c r="E206" s="36"/>
      <c r="F206" s="36"/>
      <c r="G206" s="36"/>
      <c r="H206" s="56">
        <f t="shared" ref="H206:H212" si="15">IF(C206=0,0,20)</f>
        <v>0</v>
      </c>
    </row>
    <row r="207" spans="1:8" x14ac:dyDescent="0.25">
      <c r="A207" s="333"/>
      <c r="B207" s="353"/>
      <c r="C207" s="44"/>
      <c r="D207" s="209"/>
      <c r="E207" s="57"/>
      <c r="F207" s="57"/>
      <c r="G207" s="57"/>
      <c r="H207" s="56">
        <f t="shared" si="15"/>
        <v>0</v>
      </c>
    </row>
    <row r="208" spans="1:8" x14ac:dyDescent="0.25">
      <c r="A208" s="333"/>
      <c r="B208" s="353"/>
      <c r="C208" s="44"/>
      <c r="D208" s="209"/>
      <c r="E208" s="57"/>
      <c r="F208" s="57"/>
      <c r="G208" s="57"/>
      <c r="H208" s="56">
        <f t="shared" si="15"/>
        <v>0</v>
      </c>
    </row>
    <row r="209" spans="1:11" x14ac:dyDescent="0.25">
      <c r="A209" s="333"/>
      <c r="B209" s="353"/>
      <c r="C209" s="44"/>
      <c r="D209" s="209"/>
      <c r="E209" s="57"/>
      <c r="F209" s="57"/>
      <c r="G209" s="57"/>
      <c r="H209" s="56">
        <f t="shared" si="15"/>
        <v>0</v>
      </c>
    </row>
    <row r="210" spans="1:11" x14ac:dyDescent="0.25">
      <c r="A210" s="333"/>
      <c r="B210" s="353"/>
      <c r="C210" s="44"/>
      <c r="D210" s="209"/>
      <c r="E210" s="57"/>
      <c r="F210" s="57"/>
      <c r="G210" s="57"/>
      <c r="H210" s="56">
        <f t="shared" si="15"/>
        <v>0</v>
      </c>
    </row>
    <row r="211" spans="1:11" x14ac:dyDescent="0.25">
      <c r="A211" s="333"/>
      <c r="B211" s="353"/>
      <c r="C211" s="44"/>
      <c r="D211" s="209"/>
      <c r="E211" s="57"/>
      <c r="F211" s="57"/>
      <c r="G211" s="57"/>
      <c r="H211" s="56">
        <f t="shared" si="15"/>
        <v>0</v>
      </c>
    </row>
    <row r="212" spans="1:11" ht="15.75" thickBot="1" x14ac:dyDescent="0.3">
      <c r="A212" s="333"/>
      <c r="B212" s="354"/>
      <c r="C212" s="44"/>
      <c r="D212" s="209"/>
      <c r="E212" s="57"/>
      <c r="F212" s="57"/>
      <c r="G212" s="57"/>
      <c r="H212" s="56">
        <f t="shared" si="15"/>
        <v>0</v>
      </c>
    </row>
    <row r="213" spans="1:11" ht="15.75" thickBot="1" x14ac:dyDescent="0.3">
      <c r="A213" s="333"/>
      <c r="B213" s="349" t="s">
        <v>55</v>
      </c>
      <c r="C213" s="27" t="s">
        <v>54</v>
      </c>
      <c r="D213" s="28"/>
      <c r="E213" s="29"/>
      <c r="F213" s="29"/>
      <c r="G213" s="30">
        <f>G214+G223</f>
        <v>0</v>
      </c>
      <c r="H213" s="169">
        <f>H214+H223+H234</f>
        <v>0</v>
      </c>
    </row>
    <row r="214" spans="1:11" x14ac:dyDescent="0.25">
      <c r="A214" s="333"/>
      <c r="B214" s="350"/>
      <c r="C214" s="28" t="s">
        <v>94</v>
      </c>
      <c r="D214" s="28"/>
      <c r="E214" s="28"/>
      <c r="F214" s="28"/>
      <c r="G214" s="59">
        <f>COUNTIF(D216:D222,"nu")</f>
        <v>0</v>
      </c>
      <c r="H214" s="60">
        <f>SUMIF(D216:D222,"NU",H216:H222)</f>
        <v>0</v>
      </c>
      <c r="J214" s="225" t="s">
        <v>85</v>
      </c>
      <c r="K214" s="226" t="s">
        <v>84</v>
      </c>
    </row>
    <row r="215" spans="1:11" ht="30.75" thickBot="1" x14ac:dyDescent="0.3">
      <c r="A215" s="333"/>
      <c r="B215" s="350"/>
      <c r="C215" s="28" t="s">
        <v>249</v>
      </c>
      <c r="D215" s="53" t="s">
        <v>192</v>
      </c>
      <c r="E215" s="85" t="s">
        <v>83</v>
      </c>
      <c r="F215" s="31"/>
      <c r="G215" s="61">
        <f>COUNTIF(D216:D222,"da")</f>
        <v>0</v>
      </c>
      <c r="H215" s="62">
        <f>SUMIF(D216:D222,"DA",H216:H222)</f>
        <v>0</v>
      </c>
      <c r="J215" s="225"/>
      <c r="K215" s="226"/>
    </row>
    <row r="216" spans="1:11" x14ac:dyDescent="0.25">
      <c r="A216" s="333"/>
      <c r="B216" s="350"/>
      <c r="C216" s="32"/>
      <c r="D216" s="148"/>
      <c r="E216" s="32"/>
      <c r="F216" s="32"/>
      <c r="G216" s="32"/>
      <c r="H216" s="33">
        <f t="shared" ref="H216:H222" si="16">IF(C216=0,0,100+50*E216)</f>
        <v>0</v>
      </c>
      <c r="J216" s="227"/>
      <c r="K216" s="228">
        <f t="shared" ref="K216:K222" si="17">IF(E216&lt;=0, 0,IF(E216&lt;1,"OK","Revista cu punctaj peste 1"))</f>
        <v>0</v>
      </c>
    </row>
    <row r="217" spans="1:11" x14ac:dyDescent="0.25">
      <c r="A217" s="333"/>
      <c r="B217" s="350"/>
      <c r="C217" s="32"/>
      <c r="D217" s="148"/>
      <c r="E217" s="32"/>
      <c r="F217" s="32"/>
      <c r="G217" s="32"/>
      <c r="H217" s="33">
        <f t="shared" si="16"/>
        <v>0</v>
      </c>
      <c r="J217" s="227"/>
      <c r="K217" s="228">
        <f t="shared" si="17"/>
        <v>0</v>
      </c>
    </row>
    <row r="218" spans="1:11" x14ac:dyDescent="0.25">
      <c r="A218" s="333"/>
      <c r="B218" s="350"/>
      <c r="C218" s="32"/>
      <c r="D218" s="148"/>
      <c r="E218" s="32"/>
      <c r="F218" s="32"/>
      <c r="G218" s="32"/>
      <c r="H218" s="33">
        <f>IF(C218=0,0,100+50*E218)</f>
        <v>0</v>
      </c>
      <c r="J218" s="227"/>
      <c r="K218" s="228">
        <f t="shared" si="17"/>
        <v>0</v>
      </c>
    </row>
    <row r="219" spans="1:11" x14ac:dyDescent="0.25">
      <c r="A219" s="333"/>
      <c r="B219" s="350"/>
      <c r="C219" s="32"/>
      <c r="D219" s="148"/>
      <c r="E219" s="32"/>
      <c r="F219" s="32"/>
      <c r="G219" s="32"/>
      <c r="H219" s="33">
        <f t="shared" si="16"/>
        <v>0</v>
      </c>
      <c r="J219" s="227"/>
      <c r="K219" s="228">
        <f t="shared" si="17"/>
        <v>0</v>
      </c>
    </row>
    <row r="220" spans="1:11" x14ac:dyDescent="0.25">
      <c r="A220" s="333"/>
      <c r="B220" s="350"/>
      <c r="C220" s="32"/>
      <c r="D220" s="148"/>
      <c r="E220" s="32"/>
      <c r="F220" s="32"/>
      <c r="G220" s="32"/>
      <c r="H220" s="33">
        <f t="shared" si="16"/>
        <v>0</v>
      </c>
      <c r="J220" s="227"/>
      <c r="K220" s="228">
        <f t="shared" si="17"/>
        <v>0</v>
      </c>
    </row>
    <row r="221" spans="1:11" x14ac:dyDescent="0.25">
      <c r="A221" s="333"/>
      <c r="B221" s="350"/>
      <c r="C221" s="32"/>
      <c r="D221" s="148"/>
      <c r="E221" s="32"/>
      <c r="F221" s="32"/>
      <c r="G221" s="32"/>
      <c r="H221" s="33">
        <f t="shared" si="16"/>
        <v>0</v>
      </c>
      <c r="J221" s="227"/>
      <c r="K221" s="228">
        <f t="shared" si="17"/>
        <v>0</v>
      </c>
    </row>
    <row r="222" spans="1:11" ht="15.75" thickBot="1" x14ac:dyDescent="0.3">
      <c r="A222" s="333"/>
      <c r="B222" s="350"/>
      <c r="C222" s="32"/>
      <c r="D222" s="148"/>
      <c r="E222" s="32"/>
      <c r="F222" s="32"/>
      <c r="G222" s="32"/>
      <c r="H222" s="33">
        <f t="shared" si="16"/>
        <v>0</v>
      </c>
      <c r="J222" s="227"/>
      <c r="K222" s="228">
        <f t="shared" si="17"/>
        <v>0</v>
      </c>
    </row>
    <row r="223" spans="1:11" x14ac:dyDescent="0.25">
      <c r="A223" s="333"/>
      <c r="B223" s="350"/>
      <c r="C223" s="28" t="s">
        <v>432</v>
      </c>
      <c r="D223" s="28"/>
      <c r="E223" s="85"/>
      <c r="F223" s="28"/>
      <c r="G223" s="59">
        <f>COUNTIF(D225:D233,"nu")</f>
        <v>0</v>
      </c>
      <c r="H223" s="60">
        <f>SUMIF(D225:D233,"NU",H225:H233)</f>
        <v>0</v>
      </c>
      <c r="J223" s="227"/>
      <c r="K223" s="228"/>
    </row>
    <row r="224" spans="1:11" ht="30.75" thickBot="1" x14ac:dyDescent="0.3">
      <c r="A224" s="333"/>
      <c r="B224" s="350"/>
      <c r="C224" s="28" t="s">
        <v>433</v>
      </c>
      <c r="D224" s="53" t="s">
        <v>192</v>
      </c>
      <c r="E224" s="85" t="s">
        <v>83</v>
      </c>
      <c r="F224" s="28" t="s">
        <v>11</v>
      </c>
      <c r="G224" s="61">
        <f>COUNTIF(D225:D233,"da")</f>
        <v>0</v>
      </c>
      <c r="H224" s="62">
        <f>SUMIF(D225:D233,"DA",H225:H233)</f>
        <v>0</v>
      </c>
      <c r="J224" s="227"/>
      <c r="K224" s="228"/>
    </row>
    <row r="225" spans="1:11" x14ac:dyDescent="0.25">
      <c r="A225" s="333"/>
      <c r="B225" s="350"/>
      <c r="C225" s="32"/>
      <c r="D225" s="148"/>
      <c r="E225" s="32"/>
      <c r="F225" s="32"/>
      <c r="G225" s="32"/>
      <c r="H225" s="33">
        <f>IF(F225=0,0,(100+50*E225)/F225)</f>
        <v>0</v>
      </c>
      <c r="J225" s="227"/>
      <c r="K225" s="228">
        <f>IF(E225&lt;=0, 0,IF(E225&lt;1,"OK","Revista cu punctaj peste 1"))</f>
        <v>0</v>
      </c>
    </row>
    <row r="226" spans="1:11" x14ac:dyDescent="0.25">
      <c r="A226" s="333"/>
      <c r="B226" s="350"/>
      <c r="C226" s="32"/>
      <c r="D226" s="148"/>
      <c r="E226" s="32"/>
      <c r="F226" s="32"/>
      <c r="G226" s="32"/>
      <c r="H226" s="33">
        <f t="shared" ref="H226:H233" si="18">IF(F226=0,0,(100+50*E226)/F226)</f>
        <v>0</v>
      </c>
      <c r="J226" s="227"/>
      <c r="K226" s="228">
        <f t="shared" ref="K226:K231" si="19">IF(E226&lt;=0, 0,IF(E226&lt;1,"OK","Revista cu punctaj peste 1"))</f>
        <v>0</v>
      </c>
    </row>
    <row r="227" spans="1:11" x14ac:dyDescent="0.25">
      <c r="A227" s="333"/>
      <c r="B227" s="350"/>
      <c r="C227" s="32"/>
      <c r="D227" s="148"/>
      <c r="E227" s="32"/>
      <c r="F227" s="32"/>
      <c r="G227" s="32"/>
      <c r="H227" s="33">
        <f t="shared" si="18"/>
        <v>0</v>
      </c>
      <c r="J227" s="227"/>
      <c r="K227" s="228">
        <f t="shared" si="19"/>
        <v>0</v>
      </c>
    </row>
    <row r="228" spans="1:11" x14ac:dyDescent="0.25">
      <c r="A228" s="333"/>
      <c r="B228" s="350"/>
      <c r="C228" s="32"/>
      <c r="D228" s="148"/>
      <c r="E228" s="32"/>
      <c r="F228" s="32"/>
      <c r="G228" s="32"/>
      <c r="H228" s="33">
        <f t="shared" si="18"/>
        <v>0</v>
      </c>
      <c r="J228" s="227"/>
      <c r="K228" s="228">
        <f t="shared" si="19"/>
        <v>0</v>
      </c>
    </row>
    <row r="229" spans="1:11" x14ac:dyDescent="0.25">
      <c r="A229" s="333"/>
      <c r="B229" s="350"/>
      <c r="C229" s="32"/>
      <c r="D229" s="148"/>
      <c r="E229" s="32"/>
      <c r="F229" s="32"/>
      <c r="G229" s="32"/>
      <c r="H229" s="33">
        <f t="shared" si="18"/>
        <v>0</v>
      </c>
      <c r="J229" s="227"/>
      <c r="K229" s="228">
        <f t="shared" si="19"/>
        <v>0</v>
      </c>
    </row>
    <row r="230" spans="1:11" x14ac:dyDescent="0.25">
      <c r="A230" s="333"/>
      <c r="B230" s="350"/>
      <c r="C230" s="32"/>
      <c r="D230" s="148"/>
      <c r="E230" s="32"/>
      <c r="F230" s="32"/>
      <c r="G230" s="32"/>
      <c r="H230" s="33">
        <f t="shared" si="18"/>
        <v>0</v>
      </c>
      <c r="J230" s="227"/>
      <c r="K230" s="228">
        <f t="shared" si="19"/>
        <v>0</v>
      </c>
    </row>
    <row r="231" spans="1:11" x14ac:dyDescent="0.25">
      <c r="A231" s="333"/>
      <c r="B231" s="350"/>
      <c r="C231" s="32"/>
      <c r="D231" s="148"/>
      <c r="E231" s="32"/>
      <c r="F231" s="32"/>
      <c r="G231" s="32"/>
      <c r="H231" s="33">
        <f t="shared" si="18"/>
        <v>0</v>
      </c>
      <c r="J231" s="227"/>
      <c r="K231" s="228">
        <f t="shared" si="19"/>
        <v>0</v>
      </c>
    </row>
    <row r="232" spans="1:11" x14ac:dyDescent="0.25">
      <c r="A232" s="333"/>
      <c r="B232" s="350"/>
      <c r="C232" s="32"/>
      <c r="D232" s="148"/>
      <c r="E232" s="32"/>
      <c r="F232" s="32"/>
      <c r="G232" s="32"/>
      <c r="H232" s="33">
        <f t="shared" si="18"/>
        <v>0</v>
      </c>
      <c r="J232" s="227"/>
      <c r="K232" s="228">
        <f>IF(E232&lt;=0, 0,IF(E232&lt;1,"OK","Revista cu punctaj peste 1"))</f>
        <v>0</v>
      </c>
    </row>
    <row r="233" spans="1:11" ht="15.75" thickBot="1" x14ac:dyDescent="0.3">
      <c r="A233" s="333"/>
      <c r="B233" s="350"/>
      <c r="C233" s="32"/>
      <c r="D233" s="148"/>
      <c r="E233" s="32"/>
      <c r="F233" s="32"/>
      <c r="G233" s="32"/>
      <c r="H233" s="33">
        <f t="shared" si="18"/>
        <v>0</v>
      </c>
      <c r="J233" s="227"/>
      <c r="K233" s="228">
        <f>IF(E233&lt;=0, 0,IF(E233&lt;1,"OK","Revista cu punctaj peste 1"))</f>
        <v>0</v>
      </c>
    </row>
    <row r="234" spans="1:11" x14ac:dyDescent="0.25">
      <c r="A234" s="333"/>
      <c r="B234" s="350"/>
      <c r="C234" s="28" t="s">
        <v>444</v>
      </c>
      <c r="D234" s="28"/>
      <c r="E234" s="28"/>
      <c r="F234" s="28"/>
      <c r="G234" s="59">
        <f>COUNTIF(D236:D243,"nu")</f>
        <v>0</v>
      </c>
      <c r="H234" s="60">
        <f>SUMIF(D236:D243,"NU",H236:H243)</f>
        <v>0</v>
      </c>
    </row>
    <row r="235" spans="1:11" ht="15.75" thickBot="1" x14ac:dyDescent="0.3">
      <c r="A235" s="333"/>
      <c r="B235" s="350"/>
      <c r="C235" s="28" t="s">
        <v>445</v>
      </c>
      <c r="D235" s="53" t="s">
        <v>192</v>
      </c>
      <c r="E235" s="28"/>
      <c r="F235" s="28"/>
      <c r="G235" s="61">
        <f>COUNTIF(D236:D243,"da")</f>
        <v>0</v>
      </c>
      <c r="H235" s="62">
        <f>SUMIF(D236:D243,"DA",H236:H243)</f>
        <v>0</v>
      </c>
    </row>
    <row r="236" spans="1:11" x14ac:dyDescent="0.25">
      <c r="A236" s="333"/>
      <c r="B236" s="350"/>
      <c r="C236" s="32"/>
      <c r="D236" s="148"/>
      <c r="E236" s="28"/>
      <c r="F236" s="28"/>
      <c r="G236" s="28"/>
      <c r="H236" s="33">
        <f t="shared" ref="H236:H243" si="20">IF(C236=0,0,30)</f>
        <v>0</v>
      </c>
    </row>
    <row r="237" spans="1:11" x14ac:dyDescent="0.25">
      <c r="A237" s="333"/>
      <c r="B237" s="350"/>
      <c r="C237" s="32"/>
      <c r="D237" s="148"/>
      <c r="E237" s="28"/>
      <c r="F237" s="28"/>
      <c r="G237" s="34"/>
      <c r="H237" s="33">
        <f t="shared" si="20"/>
        <v>0</v>
      </c>
    </row>
    <row r="238" spans="1:11" x14ac:dyDescent="0.25">
      <c r="A238" s="333"/>
      <c r="B238" s="350"/>
      <c r="C238" s="32"/>
      <c r="D238" s="148"/>
      <c r="E238" s="28"/>
      <c r="F238" s="28"/>
      <c r="G238" s="34"/>
      <c r="H238" s="33">
        <f t="shared" si="20"/>
        <v>0</v>
      </c>
    </row>
    <row r="239" spans="1:11" x14ac:dyDescent="0.25">
      <c r="A239" s="333"/>
      <c r="B239" s="350"/>
      <c r="C239" s="32"/>
      <c r="D239" s="148"/>
      <c r="E239" s="28"/>
      <c r="F239" s="28"/>
      <c r="G239" s="34"/>
      <c r="H239" s="33">
        <f t="shared" si="20"/>
        <v>0</v>
      </c>
    </row>
    <row r="240" spans="1:11" x14ac:dyDescent="0.25">
      <c r="A240" s="333"/>
      <c r="B240" s="350"/>
      <c r="C240" s="32"/>
      <c r="D240" s="148"/>
      <c r="E240" s="28"/>
      <c r="F240" s="28"/>
      <c r="G240" s="34"/>
      <c r="H240" s="33">
        <f t="shared" si="20"/>
        <v>0</v>
      </c>
    </row>
    <row r="241" spans="1:11" x14ac:dyDescent="0.25">
      <c r="A241" s="333"/>
      <c r="B241" s="350"/>
      <c r="C241" s="32"/>
      <c r="D241" s="148"/>
      <c r="E241" s="28"/>
      <c r="F241" s="28"/>
      <c r="G241" s="34"/>
      <c r="H241" s="33">
        <f t="shared" si="20"/>
        <v>0</v>
      </c>
    </row>
    <row r="242" spans="1:11" x14ac:dyDescent="0.25">
      <c r="A242" s="333"/>
      <c r="B242" s="350"/>
      <c r="C242" s="32"/>
      <c r="D242" s="148"/>
      <c r="E242" s="28"/>
      <c r="F242" s="28"/>
      <c r="G242" s="34"/>
      <c r="H242" s="33">
        <f t="shared" si="20"/>
        <v>0</v>
      </c>
    </row>
    <row r="243" spans="1:11" ht="15.75" thickBot="1" x14ac:dyDescent="0.3">
      <c r="A243" s="333"/>
      <c r="B243" s="351"/>
      <c r="C243" s="32"/>
      <c r="D243" s="148"/>
      <c r="E243" s="28"/>
      <c r="F243" s="28"/>
      <c r="G243" s="34"/>
      <c r="H243" s="33">
        <f t="shared" si="20"/>
        <v>0</v>
      </c>
    </row>
    <row r="244" spans="1:11" ht="15.75" thickBot="1" x14ac:dyDescent="0.3">
      <c r="A244" s="333"/>
      <c r="B244" s="349" t="s">
        <v>247</v>
      </c>
      <c r="C244" s="27" t="s">
        <v>56</v>
      </c>
      <c r="D244" s="28"/>
      <c r="E244" s="29"/>
      <c r="F244" s="29"/>
      <c r="G244" s="30">
        <f>G245+G256</f>
        <v>0</v>
      </c>
      <c r="H244" s="169">
        <f>H245+H256+H271+H282</f>
        <v>0</v>
      </c>
    </row>
    <row r="245" spans="1:11" x14ac:dyDescent="0.25">
      <c r="A245" s="333"/>
      <c r="B245" s="350"/>
      <c r="C245" s="28" t="s">
        <v>95</v>
      </c>
      <c r="D245" s="28"/>
      <c r="E245" s="28"/>
      <c r="F245" s="28"/>
      <c r="G245" s="59">
        <f>COUNTIF(D247:D255,"nu")</f>
        <v>0</v>
      </c>
      <c r="H245" s="60">
        <f>SUMIF(D247:D255,"NU",H247:H255)</f>
        <v>0</v>
      </c>
      <c r="J245" s="225" t="s">
        <v>127</v>
      </c>
      <c r="K245" s="226" t="s">
        <v>84</v>
      </c>
    </row>
    <row r="246" spans="1:11" ht="30.75" thickBot="1" x14ac:dyDescent="0.3">
      <c r="A246" s="333"/>
      <c r="B246" s="350"/>
      <c r="C246" s="28" t="s">
        <v>250</v>
      </c>
      <c r="D246" s="53" t="s">
        <v>192</v>
      </c>
      <c r="E246" s="85" t="s">
        <v>83</v>
      </c>
      <c r="F246" s="31"/>
      <c r="G246" s="61">
        <f>COUNTIF(D247:D255,"da")</f>
        <v>0</v>
      </c>
      <c r="H246" s="62">
        <f>SUMIF(D247:D255,"DA",H247:H255)</f>
        <v>0</v>
      </c>
      <c r="J246" s="225"/>
      <c r="K246" s="226"/>
    </row>
    <row r="247" spans="1:11" x14ac:dyDescent="0.25">
      <c r="A247" s="333"/>
      <c r="B247" s="350"/>
      <c r="C247" s="32"/>
      <c r="D247" s="148"/>
      <c r="E247" s="32"/>
      <c r="F247" s="32"/>
      <c r="G247" s="32"/>
      <c r="H247" s="33">
        <f>IF(C247=0,0,100+100*E247)</f>
        <v>0</v>
      </c>
      <c r="J247" s="227"/>
      <c r="K247" s="228">
        <f>IF(E247&lt;=0, 0,IF(E247&gt;=1,"OK","Revista cu punctaj sub 1"))</f>
        <v>0</v>
      </c>
    </row>
    <row r="248" spans="1:11" x14ac:dyDescent="0.25">
      <c r="A248" s="333"/>
      <c r="B248" s="350"/>
      <c r="C248" s="32"/>
      <c r="D248" s="148"/>
      <c r="E248" s="32"/>
      <c r="F248" s="32"/>
      <c r="G248" s="32"/>
      <c r="H248" s="33">
        <f t="shared" ref="H248:H253" si="21">IF(C248=0,0,100+100*E248)</f>
        <v>0</v>
      </c>
      <c r="J248" s="227"/>
      <c r="K248" s="228">
        <f t="shared" ref="K248:K253" si="22">IF(E248&lt;=0, 0,IF(E248&gt;=1,"OK","Revista cu punctaj sub 1"))</f>
        <v>0</v>
      </c>
    </row>
    <row r="249" spans="1:11" x14ac:dyDescent="0.25">
      <c r="A249" s="333"/>
      <c r="B249" s="350"/>
      <c r="C249" s="32"/>
      <c r="D249" s="148"/>
      <c r="E249" s="32"/>
      <c r="F249" s="32"/>
      <c r="G249" s="32"/>
      <c r="H249" s="33">
        <f t="shared" si="21"/>
        <v>0</v>
      </c>
      <c r="J249" s="227"/>
      <c r="K249" s="228">
        <f t="shared" si="22"/>
        <v>0</v>
      </c>
    </row>
    <row r="250" spans="1:11" x14ac:dyDescent="0.25">
      <c r="A250" s="333"/>
      <c r="B250" s="350"/>
      <c r="C250" s="32"/>
      <c r="D250" s="148"/>
      <c r="E250" s="32"/>
      <c r="F250" s="32"/>
      <c r="G250" s="32"/>
      <c r="H250" s="33">
        <f t="shared" si="21"/>
        <v>0</v>
      </c>
      <c r="J250" s="227"/>
      <c r="K250" s="228">
        <f t="shared" si="22"/>
        <v>0</v>
      </c>
    </row>
    <row r="251" spans="1:11" x14ac:dyDescent="0.25">
      <c r="A251" s="333"/>
      <c r="B251" s="350"/>
      <c r="C251" s="32"/>
      <c r="D251" s="148"/>
      <c r="E251" s="32"/>
      <c r="F251" s="32"/>
      <c r="G251" s="32"/>
      <c r="H251" s="33">
        <f t="shared" si="21"/>
        <v>0</v>
      </c>
      <c r="J251" s="227"/>
      <c r="K251" s="228">
        <f t="shared" si="22"/>
        <v>0</v>
      </c>
    </row>
    <row r="252" spans="1:11" x14ac:dyDescent="0.25">
      <c r="A252" s="333"/>
      <c r="B252" s="350"/>
      <c r="C252" s="32"/>
      <c r="D252" s="148"/>
      <c r="E252" s="32"/>
      <c r="F252" s="32"/>
      <c r="G252" s="32"/>
      <c r="H252" s="33">
        <f t="shared" si="21"/>
        <v>0</v>
      </c>
      <c r="J252" s="227"/>
      <c r="K252" s="228">
        <f t="shared" si="22"/>
        <v>0</v>
      </c>
    </row>
    <row r="253" spans="1:11" x14ac:dyDescent="0.25">
      <c r="A253" s="333"/>
      <c r="B253" s="350"/>
      <c r="C253" s="32"/>
      <c r="D253" s="148"/>
      <c r="E253" s="32"/>
      <c r="F253" s="32"/>
      <c r="G253" s="32"/>
      <c r="H253" s="33">
        <f t="shared" si="21"/>
        <v>0</v>
      </c>
      <c r="J253" s="227"/>
      <c r="K253" s="228">
        <f t="shared" si="22"/>
        <v>0</v>
      </c>
    </row>
    <row r="254" spans="1:11" x14ac:dyDescent="0.25">
      <c r="A254" s="333"/>
      <c r="B254" s="350"/>
      <c r="C254" s="32"/>
      <c r="D254" s="148"/>
      <c r="E254" s="32"/>
      <c r="F254" s="32"/>
      <c r="G254" s="32"/>
      <c r="H254" s="33">
        <f>IF(C254=0,0,100+100*E254)</f>
        <v>0</v>
      </c>
      <c r="J254" s="227"/>
      <c r="K254" s="228">
        <f>IF(E254&lt;=0, 0,IF(E254&gt;=1,"OK","Revista cu punctaj sub 1"))</f>
        <v>0</v>
      </c>
    </row>
    <row r="255" spans="1:11" ht="15.75" thickBot="1" x14ac:dyDescent="0.3">
      <c r="A255" s="333"/>
      <c r="B255" s="350"/>
      <c r="C255" s="32"/>
      <c r="D255" s="148"/>
      <c r="E255" s="32"/>
      <c r="F255" s="32"/>
      <c r="G255" s="32"/>
      <c r="H255" s="33">
        <f>IF(C255=0,0,100+100*E255)</f>
        <v>0</v>
      </c>
      <c r="J255" s="227"/>
      <c r="K255" s="228">
        <f>IF(E255&lt;=0, 0,IF(E255&gt;=1,"OK","Revista cu punctaj sub 1"))</f>
        <v>0</v>
      </c>
    </row>
    <row r="256" spans="1:11" x14ac:dyDescent="0.25">
      <c r="A256" s="333"/>
      <c r="B256" s="350"/>
      <c r="C256" s="28" t="s">
        <v>434</v>
      </c>
      <c r="D256" s="28"/>
      <c r="E256" s="85"/>
      <c r="F256" s="28"/>
      <c r="G256" s="59">
        <f>COUNTIF(D258:D270,"nu")</f>
        <v>0</v>
      </c>
      <c r="H256" s="60">
        <f>SUMIF(D258:D270,"NU",H258:H270)</f>
        <v>0</v>
      </c>
      <c r="J256" s="227"/>
      <c r="K256" s="228"/>
    </row>
    <row r="257" spans="1:11" ht="30.75" thickBot="1" x14ac:dyDescent="0.3">
      <c r="A257" s="333"/>
      <c r="B257" s="350"/>
      <c r="C257" s="28" t="s">
        <v>306</v>
      </c>
      <c r="D257" s="53" t="s">
        <v>192</v>
      </c>
      <c r="E257" s="85" t="s">
        <v>83</v>
      </c>
      <c r="F257" s="28" t="s">
        <v>11</v>
      </c>
      <c r="G257" s="61">
        <f>COUNTIF(D258:D270,"da")</f>
        <v>0</v>
      </c>
      <c r="H257" s="62">
        <f>SUMIF(D258:D270,"DA",H258:H270)</f>
        <v>0</v>
      </c>
      <c r="J257" s="227"/>
      <c r="K257" s="228"/>
    </row>
    <row r="258" spans="1:11" x14ac:dyDescent="0.25">
      <c r="A258" s="333"/>
      <c r="B258" s="350"/>
      <c r="C258" s="32"/>
      <c r="D258" s="148"/>
      <c r="E258" s="32"/>
      <c r="F258" s="32"/>
      <c r="G258" s="32"/>
      <c r="H258" s="33">
        <f>IF(F258=0,0,(100+100*E258)/F258)</f>
        <v>0</v>
      </c>
      <c r="J258" s="227"/>
      <c r="K258" s="228">
        <f>IF(E258&lt;=0, 0,IF(E258&gt;=1,"OK","Revista cu punctaj sub 1"))</f>
        <v>0</v>
      </c>
    </row>
    <row r="259" spans="1:11" x14ac:dyDescent="0.25">
      <c r="A259" s="333"/>
      <c r="B259" s="350"/>
      <c r="C259" s="32"/>
      <c r="D259" s="148"/>
      <c r="E259" s="32"/>
      <c r="F259" s="32"/>
      <c r="G259" s="32"/>
      <c r="H259" s="33">
        <f t="shared" ref="H259:H270" si="23">IF(F259=0,0,(100+100*E259)/F259)</f>
        <v>0</v>
      </c>
      <c r="J259" s="227"/>
      <c r="K259" s="228">
        <f t="shared" ref="K259:K268" si="24">IF(E259&lt;=0, 0,IF(E259&gt;=1,"OK","Revista cu punctaj sub 1"))</f>
        <v>0</v>
      </c>
    </row>
    <row r="260" spans="1:11" x14ac:dyDescent="0.25">
      <c r="A260" s="333"/>
      <c r="B260" s="350"/>
      <c r="C260" s="32"/>
      <c r="D260" s="148"/>
      <c r="E260" s="32"/>
      <c r="F260" s="32"/>
      <c r="G260" s="32"/>
      <c r="H260" s="33">
        <f t="shared" si="23"/>
        <v>0</v>
      </c>
      <c r="J260" s="227"/>
      <c r="K260" s="228">
        <f t="shared" si="24"/>
        <v>0</v>
      </c>
    </row>
    <row r="261" spans="1:11" x14ac:dyDescent="0.25">
      <c r="A261" s="333"/>
      <c r="B261" s="350"/>
      <c r="C261" s="32"/>
      <c r="D261" s="148"/>
      <c r="E261" s="32"/>
      <c r="F261" s="32"/>
      <c r="G261" s="32"/>
      <c r="H261" s="33">
        <f t="shared" si="23"/>
        <v>0</v>
      </c>
      <c r="J261" s="227"/>
      <c r="K261" s="228">
        <f t="shared" si="24"/>
        <v>0</v>
      </c>
    </row>
    <row r="262" spans="1:11" x14ac:dyDescent="0.25">
      <c r="A262" s="333"/>
      <c r="B262" s="350"/>
      <c r="C262" s="32"/>
      <c r="D262" s="148"/>
      <c r="E262" s="32"/>
      <c r="F262" s="32"/>
      <c r="G262" s="32"/>
      <c r="H262" s="33">
        <f t="shared" si="23"/>
        <v>0</v>
      </c>
      <c r="J262" s="227"/>
      <c r="K262" s="228">
        <f t="shared" si="24"/>
        <v>0</v>
      </c>
    </row>
    <row r="263" spans="1:11" x14ac:dyDescent="0.25">
      <c r="A263" s="333"/>
      <c r="B263" s="350"/>
      <c r="C263" s="32"/>
      <c r="D263" s="148"/>
      <c r="E263" s="32"/>
      <c r="F263" s="32"/>
      <c r="G263" s="32"/>
      <c r="H263" s="33">
        <f t="shared" si="23"/>
        <v>0</v>
      </c>
      <c r="J263" s="227"/>
      <c r="K263" s="228">
        <f t="shared" si="24"/>
        <v>0</v>
      </c>
    </row>
    <row r="264" spans="1:11" x14ac:dyDescent="0.25">
      <c r="A264" s="333"/>
      <c r="B264" s="350"/>
      <c r="C264" s="32"/>
      <c r="D264" s="148"/>
      <c r="E264" s="32"/>
      <c r="F264" s="32"/>
      <c r="G264" s="32"/>
      <c r="H264" s="33">
        <f t="shared" si="23"/>
        <v>0</v>
      </c>
      <c r="J264" s="227"/>
      <c r="K264" s="228">
        <f t="shared" si="24"/>
        <v>0</v>
      </c>
    </row>
    <row r="265" spans="1:11" x14ac:dyDescent="0.25">
      <c r="A265" s="333"/>
      <c r="B265" s="350"/>
      <c r="C265" s="32"/>
      <c r="D265" s="148"/>
      <c r="E265" s="32"/>
      <c r="F265" s="32"/>
      <c r="G265" s="32"/>
      <c r="H265" s="33">
        <f t="shared" si="23"/>
        <v>0</v>
      </c>
      <c r="J265" s="227"/>
      <c r="K265" s="228">
        <f t="shared" si="24"/>
        <v>0</v>
      </c>
    </row>
    <row r="266" spans="1:11" x14ac:dyDescent="0.25">
      <c r="A266" s="333"/>
      <c r="B266" s="350"/>
      <c r="C266" s="32"/>
      <c r="D266" s="148"/>
      <c r="E266" s="32"/>
      <c r="F266" s="32"/>
      <c r="G266" s="32"/>
      <c r="H266" s="33">
        <f t="shared" si="23"/>
        <v>0</v>
      </c>
      <c r="J266" s="227"/>
      <c r="K266" s="228">
        <f t="shared" si="24"/>
        <v>0</v>
      </c>
    </row>
    <row r="267" spans="1:11" x14ac:dyDescent="0.25">
      <c r="A267" s="333"/>
      <c r="B267" s="350"/>
      <c r="C267" s="32"/>
      <c r="D267" s="148"/>
      <c r="E267" s="32"/>
      <c r="F267" s="32"/>
      <c r="G267" s="32"/>
      <c r="H267" s="33">
        <f t="shared" si="23"/>
        <v>0</v>
      </c>
      <c r="J267" s="227"/>
      <c r="K267" s="228">
        <f t="shared" si="24"/>
        <v>0</v>
      </c>
    </row>
    <row r="268" spans="1:11" x14ac:dyDescent="0.25">
      <c r="A268" s="333"/>
      <c r="B268" s="350"/>
      <c r="C268" s="32"/>
      <c r="D268" s="148"/>
      <c r="E268" s="32"/>
      <c r="F268" s="32"/>
      <c r="G268" s="32"/>
      <c r="H268" s="33">
        <f t="shared" si="23"/>
        <v>0</v>
      </c>
      <c r="J268" s="227"/>
      <c r="K268" s="228">
        <f t="shared" si="24"/>
        <v>0</v>
      </c>
    </row>
    <row r="269" spans="1:11" x14ac:dyDescent="0.25">
      <c r="A269" s="333"/>
      <c r="B269" s="350"/>
      <c r="C269" s="32"/>
      <c r="D269" s="148"/>
      <c r="E269" s="32"/>
      <c r="F269" s="32"/>
      <c r="G269" s="32"/>
      <c r="H269" s="33">
        <f t="shared" si="23"/>
        <v>0</v>
      </c>
      <c r="J269" s="227"/>
      <c r="K269" s="228">
        <f>IF(E269&lt;=0, 0,IF(E269&gt;=1,"OK","Revista cu punctaj sub 1"))</f>
        <v>0</v>
      </c>
    </row>
    <row r="270" spans="1:11" ht="15.75" thickBot="1" x14ac:dyDescent="0.3">
      <c r="A270" s="333"/>
      <c r="B270" s="350"/>
      <c r="C270" s="32"/>
      <c r="D270" s="148"/>
      <c r="E270" s="32"/>
      <c r="F270" s="32"/>
      <c r="G270" s="32"/>
      <c r="H270" s="33">
        <f t="shared" si="23"/>
        <v>0</v>
      </c>
      <c r="J270" s="227"/>
      <c r="K270" s="228">
        <f>IF(E270&lt;=0, 0,IF(E270&gt;=1,"OK","Revista cu punctaj sub 1"))</f>
        <v>0</v>
      </c>
    </row>
    <row r="271" spans="1:11" x14ac:dyDescent="0.25">
      <c r="A271" s="333"/>
      <c r="B271" s="350"/>
      <c r="C271" s="28" t="s">
        <v>446</v>
      </c>
      <c r="D271" s="28"/>
      <c r="E271" s="28"/>
      <c r="F271" s="28"/>
      <c r="G271" s="59">
        <f>COUNTIF(D273:D281,"nu")</f>
        <v>0</v>
      </c>
      <c r="H271" s="60">
        <f>SUMIF(D273:D281,"NU",H273:H281)</f>
        <v>0</v>
      </c>
    </row>
    <row r="272" spans="1:11" ht="30.75" thickBot="1" x14ac:dyDescent="0.3">
      <c r="A272" s="333"/>
      <c r="B272" s="350"/>
      <c r="C272" s="302" t="s">
        <v>449</v>
      </c>
      <c r="D272" s="53" t="s">
        <v>192</v>
      </c>
      <c r="E272" s="28"/>
      <c r="F272" s="28"/>
      <c r="G272" s="61">
        <f>COUNTIF(D273:D281,"da")</f>
        <v>0</v>
      </c>
      <c r="H272" s="62">
        <f>SUMIF(D273:D281,"DA",H273:H281)</f>
        <v>0</v>
      </c>
    </row>
    <row r="273" spans="1:8" x14ac:dyDescent="0.25">
      <c r="A273" s="333"/>
      <c r="B273" s="350"/>
      <c r="C273" s="32"/>
      <c r="D273" s="148"/>
      <c r="E273" s="28"/>
      <c r="F273" s="28"/>
      <c r="G273" s="28"/>
      <c r="H273" s="33">
        <f>IF(C273=0,0,80)</f>
        <v>0</v>
      </c>
    </row>
    <row r="274" spans="1:8" x14ac:dyDescent="0.25">
      <c r="A274" s="333"/>
      <c r="B274" s="350"/>
      <c r="C274" s="32"/>
      <c r="D274" s="148"/>
      <c r="E274" s="28"/>
      <c r="F274" s="28"/>
      <c r="G274" s="34"/>
      <c r="H274" s="33">
        <f t="shared" ref="H274:H279" si="25">IF(C274=0,0,80)</f>
        <v>0</v>
      </c>
    </row>
    <row r="275" spans="1:8" x14ac:dyDescent="0.25">
      <c r="A275" s="333"/>
      <c r="B275" s="350"/>
      <c r="C275" s="32"/>
      <c r="D275" s="148"/>
      <c r="E275" s="28"/>
      <c r="F275" s="28"/>
      <c r="G275" s="34"/>
      <c r="H275" s="33">
        <f t="shared" si="25"/>
        <v>0</v>
      </c>
    </row>
    <row r="276" spans="1:8" x14ac:dyDescent="0.25">
      <c r="A276" s="333"/>
      <c r="B276" s="350"/>
      <c r="C276" s="32"/>
      <c r="D276" s="148"/>
      <c r="E276" s="28"/>
      <c r="F276" s="28"/>
      <c r="G276" s="34"/>
      <c r="H276" s="33">
        <f t="shared" si="25"/>
        <v>0</v>
      </c>
    </row>
    <row r="277" spans="1:8" x14ac:dyDescent="0.25">
      <c r="A277" s="333"/>
      <c r="B277" s="350"/>
      <c r="C277" s="32"/>
      <c r="D277" s="148"/>
      <c r="E277" s="28"/>
      <c r="F277" s="28"/>
      <c r="G277" s="34"/>
      <c r="H277" s="33">
        <f t="shared" si="25"/>
        <v>0</v>
      </c>
    </row>
    <row r="278" spans="1:8" x14ac:dyDescent="0.25">
      <c r="A278" s="333"/>
      <c r="B278" s="350"/>
      <c r="C278" s="32"/>
      <c r="D278" s="148"/>
      <c r="E278" s="28"/>
      <c r="F278" s="28"/>
      <c r="G278" s="34"/>
      <c r="H278" s="33">
        <f t="shared" si="25"/>
        <v>0</v>
      </c>
    </row>
    <row r="279" spans="1:8" x14ac:dyDescent="0.25">
      <c r="A279" s="333"/>
      <c r="B279" s="350"/>
      <c r="C279" s="32"/>
      <c r="D279" s="148"/>
      <c r="E279" s="28"/>
      <c r="F279" s="28"/>
      <c r="G279" s="34"/>
      <c r="H279" s="33">
        <f t="shared" si="25"/>
        <v>0</v>
      </c>
    </row>
    <row r="280" spans="1:8" x14ac:dyDescent="0.25">
      <c r="A280" s="333"/>
      <c r="B280" s="350"/>
      <c r="C280" s="32"/>
      <c r="D280" s="148"/>
      <c r="E280" s="28"/>
      <c r="F280" s="28"/>
      <c r="G280" s="34"/>
      <c r="H280" s="33">
        <f>IF(C280=0,0,80)</f>
        <v>0</v>
      </c>
    </row>
    <row r="281" spans="1:8" ht="15.75" thickBot="1" x14ac:dyDescent="0.3">
      <c r="A281" s="333"/>
      <c r="B281" s="350"/>
      <c r="C281" s="32"/>
      <c r="D281" s="148"/>
      <c r="E281" s="28"/>
      <c r="F281" s="28"/>
      <c r="G281" s="174"/>
      <c r="H281" s="33">
        <f>IF(C281=0,0,80)</f>
        <v>0</v>
      </c>
    </row>
    <row r="282" spans="1:8" x14ac:dyDescent="0.25">
      <c r="A282" s="333"/>
      <c r="B282" s="350"/>
      <c r="C282" s="173" t="s">
        <v>447</v>
      </c>
      <c r="D282" s="173"/>
      <c r="E282" s="173"/>
      <c r="F282" s="173"/>
      <c r="G282" s="59">
        <f>COUNTIF(D284:D291,"nu")</f>
        <v>0</v>
      </c>
      <c r="H282" s="60">
        <f>SUMIF(D284:D291,"NU",H284:H291)</f>
        <v>0</v>
      </c>
    </row>
    <row r="283" spans="1:8" ht="30.75" thickBot="1" x14ac:dyDescent="0.3">
      <c r="A283" s="333"/>
      <c r="B283" s="350"/>
      <c r="C283" s="302" t="s">
        <v>448</v>
      </c>
      <c r="D283" s="53" t="s">
        <v>192</v>
      </c>
      <c r="E283" s="28"/>
      <c r="F283" s="28"/>
      <c r="G283" s="61">
        <f>COUNTIF(D284:D291,"da")</f>
        <v>0</v>
      </c>
      <c r="H283" s="62">
        <f>SUMIF(D284:D291,"DA",H284:H291)</f>
        <v>0</v>
      </c>
    </row>
    <row r="284" spans="1:8" x14ac:dyDescent="0.25">
      <c r="A284" s="333"/>
      <c r="B284" s="350"/>
      <c r="C284" s="32"/>
      <c r="D284" s="148"/>
      <c r="E284" s="28"/>
      <c r="F284" s="28"/>
      <c r="G284" s="34"/>
      <c r="H284" s="33">
        <f t="shared" ref="H284:H291" si="26">IF(C284=0,0,100)</f>
        <v>0</v>
      </c>
    </row>
    <row r="285" spans="1:8" x14ac:dyDescent="0.25">
      <c r="A285" s="333"/>
      <c r="B285" s="350"/>
      <c r="C285" s="32"/>
      <c r="D285" s="148"/>
      <c r="E285" s="28"/>
      <c r="F285" s="28"/>
      <c r="G285" s="34"/>
      <c r="H285" s="33">
        <f t="shared" si="26"/>
        <v>0</v>
      </c>
    </row>
    <row r="286" spans="1:8" x14ac:dyDescent="0.25">
      <c r="A286" s="333"/>
      <c r="B286" s="350"/>
      <c r="C286" s="32"/>
      <c r="D286" s="148"/>
      <c r="E286" s="28"/>
      <c r="F286" s="28"/>
      <c r="G286" s="34"/>
      <c r="H286" s="33">
        <f t="shared" si="26"/>
        <v>0</v>
      </c>
    </row>
    <row r="287" spans="1:8" x14ac:dyDescent="0.25">
      <c r="A287" s="333"/>
      <c r="B287" s="350"/>
      <c r="C287" s="32"/>
      <c r="D287" s="148"/>
      <c r="E287" s="28"/>
      <c r="F287" s="28"/>
      <c r="G287" s="34"/>
      <c r="H287" s="33">
        <f t="shared" si="26"/>
        <v>0</v>
      </c>
    </row>
    <row r="288" spans="1:8" x14ac:dyDescent="0.25">
      <c r="A288" s="333"/>
      <c r="B288" s="350"/>
      <c r="C288" s="32"/>
      <c r="D288" s="148"/>
      <c r="E288" s="28"/>
      <c r="F288" s="28"/>
      <c r="G288" s="34"/>
      <c r="H288" s="33">
        <f t="shared" si="26"/>
        <v>0</v>
      </c>
    </row>
    <row r="289" spans="1:8" x14ac:dyDescent="0.25">
      <c r="A289" s="333"/>
      <c r="B289" s="350"/>
      <c r="C289" s="32"/>
      <c r="D289" s="148"/>
      <c r="E289" s="28"/>
      <c r="F289" s="28"/>
      <c r="G289" s="34"/>
      <c r="H289" s="33">
        <f t="shared" si="26"/>
        <v>0</v>
      </c>
    </row>
    <row r="290" spans="1:8" x14ac:dyDescent="0.25">
      <c r="A290" s="333"/>
      <c r="B290" s="350"/>
      <c r="C290" s="32"/>
      <c r="D290" s="148"/>
      <c r="E290" s="28"/>
      <c r="F290" s="28"/>
      <c r="G290" s="34"/>
      <c r="H290" s="33">
        <f t="shared" si="26"/>
        <v>0</v>
      </c>
    </row>
    <row r="291" spans="1:8" ht="15.75" thickBot="1" x14ac:dyDescent="0.3">
      <c r="A291" s="333"/>
      <c r="B291" s="350"/>
      <c r="C291" s="32"/>
      <c r="D291" s="148"/>
      <c r="E291" s="28"/>
      <c r="F291" s="28"/>
      <c r="G291" s="34"/>
      <c r="H291" s="33">
        <f t="shared" si="26"/>
        <v>0</v>
      </c>
    </row>
    <row r="292" spans="1:8" ht="15.75" thickBot="1" x14ac:dyDescent="0.3">
      <c r="A292" s="333"/>
      <c r="B292" s="349" t="s">
        <v>246</v>
      </c>
      <c r="C292" s="27" t="s">
        <v>57</v>
      </c>
      <c r="D292" s="28"/>
      <c r="E292" s="29"/>
      <c r="F292" s="29"/>
      <c r="G292" s="30">
        <f>G293+G302</f>
        <v>0</v>
      </c>
      <c r="H292" s="169">
        <f>H293+H302+H312</f>
        <v>0</v>
      </c>
    </row>
    <row r="293" spans="1:8" x14ac:dyDescent="0.25">
      <c r="A293" s="333"/>
      <c r="B293" s="350"/>
      <c r="C293" s="28" t="s">
        <v>251</v>
      </c>
      <c r="D293" s="28"/>
      <c r="E293" s="28"/>
      <c r="F293" s="28"/>
      <c r="G293" s="59">
        <f>COUNTIF(D295:D301,"nu")</f>
        <v>0</v>
      </c>
      <c r="H293" s="60">
        <f>SUMIF(D295:D301,"NU",H295:H301)</f>
        <v>0</v>
      </c>
    </row>
    <row r="294" spans="1:8" ht="30.75" thickBot="1" x14ac:dyDescent="0.3">
      <c r="A294" s="333"/>
      <c r="B294" s="350"/>
      <c r="C294" s="28" t="s">
        <v>252</v>
      </c>
      <c r="D294" s="53" t="s">
        <v>192</v>
      </c>
      <c r="E294" s="85" t="s">
        <v>83</v>
      </c>
      <c r="F294" s="31"/>
      <c r="G294" s="61">
        <f>COUNTIF(D295:D301,"da")</f>
        <v>0</v>
      </c>
      <c r="H294" s="62">
        <f>SUMIF(D295:D301,"DA",H295:H301)</f>
        <v>0</v>
      </c>
    </row>
    <row r="295" spans="1:8" x14ac:dyDescent="0.25">
      <c r="A295" s="333"/>
      <c r="B295" s="350"/>
      <c r="C295" s="32"/>
      <c r="D295" s="148"/>
      <c r="E295" s="32"/>
      <c r="F295" s="32"/>
      <c r="G295" s="32"/>
      <c r="H295" s="33">
        <f t="shared" ref="H295:H301" si="27">IF(C295=0,0,100+200*E295)</f>
        <v>0</v>
      </c>
    </row>
    <row r="296" spans="1:8" x14ac:dyDescent="0.25">
      <c r="A296" s="333"/>
      <c r="B296" s="350"/>
      <c r="C296" s="32"/>
      <c r="D296" s="148"/>
      <c r="E296" s="32"/>
      <c r="F296" s="32"/>
      <c r="G296" s="32"/>
      <c r="H296" s="33">
        <f t="shared" si="27"/>
        <v>0</v>
      </c>
    </row>
    <row r="297" spans="1:8" x14ac:dyDescent="0.25">
      <c r="A297" s="333"/>
      <c r="B297" s="350"/>
      <c r="C297" s="32"/>
      <c r="D297" s="148"/>
      <c r="E297" s="32"/>
      <c r="F297" s="32"/>
      <c r="G297" s="32"/>
      <c r="H297" s="33">
        <f t="shared" si="27"/>
        <v>0</v>
      </c>
    </row>
    <row r="298" spans="1:8" x14ac:dyDescent="0.25">
      <c r="A298" s="333"/>
      <c r="B298" s="350"/>
      <c r="C298" s="32"/>
      <c r="D298" s="148"/>
      <c r="E298" s="32"/>
      <c r="F298" s="32"/>
      <c r="G298" s="32"/>
      <c r="H298" s="33">
        <f t="shared" si="27"/>
        <v>0</v>
      </c>
    </row>
    <row r="299" spans="1:8" x14ac:dyDescent="0.25">
      <c r="A299" s="333"/>
      <c r="B299" s="350"/>
      <c r="C299" s="32"/>
      <c r="D299" s="148"/>
      <c r="E299" s="32"/>
      <c r="F299" s="32"/>
      <c r="G299" s="32"/>
      <c r="H299" s="33">
        <f t="shared" si="27"/>
        <v>0</v>
      </c>
    </row>
    <row r="300" spans="1:8" x14ac:dyDescent="0.25">
      <c r="A300" s="333"/>
      <c r="B300" s="350"/>
      <c r="C300" s="32"/>
      <c r="D300" s="148"/>
      <c r="E300" s="32"/>
      <c r="F300" s="32"/>
      <c r="G300" s="32"/>
      <c r="H300" s="33">
        <f t="shared" si="27"/>
        <v>0</v>
      </c>
    </row>
    <row r="301" spans="1:8" ht="15.75" thickBot="1" x14ac:dyDescent="0.3">
      <c r="A301" s="333"/>
      <c r="B301" s="350"/>
      <c r="C301" s="32"/>
      <c r="D301" s="148"/>
      <c r="E301" s="32"/>
      <c r="F301" s="32"/>
      <c r="G301" s="32"/>
      <c r="H301" s="33">
        <f t="shared" si="27"/>
        <v>0</v>
      </c>
    </row>
    <row r="302" spans="1:8" x14ac:dyDescent="0.25">
      <c r="A302" s="333"/>
      <c r="B302" s="350"/>
      <c r="C302" s="28" t="s">
        <v>435</v>
      </c>
      <c r="D302" s="28"/>
      <c r="E302" s="85"/>
      <c r="F302" s="28"/>
      <c r="G302" s="59">
        <f>COUNTIF(D304:D311,"nu")</f>
        <v>0</v>
      </c>
      <c r="H302" s="60">
        <f>SUMIF(D304:D311,"NU",H304:H311)</f>
        <v>0</v>
      </c>
    </row>
    <row r="303" spans="1:8" ht="30.75" thickBot="1" x14ac:dyDescent="0.3">
      <c r="A303" s="333"/>
      <c r="B303" s="350"/>
      <c r="C303" s="28" t="s">
        <v>307</v>
      </c>
      <c r="D303" s="53" t="s">
        <v>192</v>
      </c>
      <c r="E303" s="85" t="s">
        <v>83</v>
      </c>
      <c r="F303" s="28" t="s">
        <v>11</v>
      </c>
      <c r="G303" s="61">
        <f>COUNTIF(D304:D311,"da")</f>
        <v>0</v>
      </c>
      <c r="H303" s="62">
        <f>SUMIF(D304:D311,"DA",H304:H311)</f>
        <v>0</v>
      </c>
    </row>
    <row r="304" spans="1:8" x14ac:dyDescent="0.25">
      <c r="A304" s="333"/>
      <c r="B304" s="350"/>
      <c r="C304" s="32"/>
      <c r="D304" s="148"/>
      <c r="E304" s="32"/>
      <c r="F304" s="32"/>
      <c r="G304" s="32"/>
      <c r="H304" s="33">
        <f>IF(F304=0,0,(100+200*E304)/F304)</f>
        <v>0</v>
      </c>
    </row>
    <row r="305" spans="1:8" x14ac:dyDescent="0.25">
      <c r="A305" s="333"/>
      <c r="B305" s="350"/>
      <c r="C305" s="32"/>
      <c r="D305" s="148"/>
      <c r="E305" s="32"/>
      <c r="F305" s="32"/>
      <c r="G305" s="32"/>
      <c r="H305" s="33">
        <f t="shared" ref="H305:H311" si="28">IF(F305=0,0,(100+200*E305)/F305)</f>
        <v>0</v>
      </c>
    </row>
    <row r="306" spans="1:8" x14ac:dyDescent="0.25">
      <c r="A306" s="333"/>
      <c r="B306" s="350"/>
      <c r="C306" s="32"/>
      <c r="D306" s="148"/>
      <c r="E306" s="32"/>
      <c r="F306" s="32"/>
      <c r="G306" s="32"/>
      <c r="H306" s="33">
        <f t="shared" si="28"/>
        <v>0</v>
      </c>
    </row>
    <row r="307" spans="1:8" x14ac:dyDescent="0.25">
      <c r="A307" s="333"/>
      <c r="B307" s="350"/>
      <c r="C307" s="32"/>
      <c r="D307" s="148"/>
      <c r="E307" s="32"/>
      <c r="F307" s="32"/>
      <c r="G307" s="32"/>
      <c r="H307" s="33">
        <f t="shared" si="28"/>
        <v>0</v>
      </c>
    </row>
    <row r="308" spans="1:8" x14ac:dyDescent="0.25">
      <c r="A308" s="333"/>
      <c r="B308" s="350"/>
      <c r="C308" s="32"/>
      <c r="D308" s="148"/>
      <c r="E308" s="32"/>
      <c r="F308" s="32"/>
      <c r="G308" s="32"/>
      <c r="H308" s="33">
        <f t="shared" si="28"/>
        <v>0</v>
      </c>
    </row>
    <row r="309" spans="1:8" x14ac:dyDescent="0.25">
      <c r="A309" s="333"/>
      <c r="B309" s="350"/>
      <c r="C309" s="32"/>
      <c r="D309" s="148"/>
      <c r="E309" s="32"/>
      <c r="F309" s="32"/>
      <c r="G309" s="32"/>
      <c r="H309" s="33">
        <f t="shared" si="28"/>
        <v>0</v>
      </c>
    </row>
    <row r="310" spans="1:8" x14ac:dyDescent="0.25">
      <c r="A310" s="333"/>
      <c r="B310" s="350"/>
      <c r="C310" s="32"/>
      <c r="D310" s="148"/>
      <c r="E310" s="32"/>
      <c r="F310" s="32"/>
      <c r="G310" s="32"/>
      <c r="H310" s="33">
        <f t="shared" si="28"/>
        <v>0</v>
      </c>
    </row>
    <row r="311" spans="1:8" ht="15.75" thickBot="1" x14ac:dyDescent="0.3">
      <c r="A311" s="333"/>
      <c r="B311" s="350"/>
      <c r="C311" s="32"/>
      <c r="D311" s="148"/>
      <c r="E311" s="32"/>
      <c r="F311" s="32"/>
      <c r="G311" s="32"/>
      <c r="H311" s="33">
        <f t="shared" si="28"/>
        <v>0</v>
      </c>
    </row>
    <row r="312" spans="1:8" x14ac:dyDescent="0.25">
      <c r="A312" s="333"/>
      <c r="B312" s="350"/>
      <c r="C312" s="28" t="s">
        <v>450</v>
      </c>
      <c r="D312" s="28"/>
      <c r="E312" s="28"/>
      <c r="F312" s="28"/>
      <c r="G312" s="59">
        <f>COUNTIF(D314:D321,"nu")</f>
        <v>0</v>
      </c>
      <c r="H312" s="60">
        <f>SUMIF(D314:D321,"NU",H314:H321)</f>
        <v>0</v>
      </c>
    </row>
    <row r="313" spans="1:8" ht="15.75" thickBot="1" x14ac:dyDescent="0.3">
      <c r="A313" s="333"/>
      <c r="B313" s="350"/>
      <c r="C313" s="28" t="s">
        <v>451</v>
      </c>
      <c r="D313" s="53" t="s">
        <v>192</v>
      </c>
      <c r="E313" s="28"/>
      <c r="F313" s="28"/>
      <c r="G313" s="61">
        <f>COUNTIF(D314:D321,"da")</f>
        <v>0</v>
      </c>
      <c r="H313" s="62">
        <f>SUMIF(D314:D321,"DA",H314:H321)</f>
        <v>0</v>
      </c>
    </row>
    <row r="314" spans="1:8" x14ac:dyDescent="0.25">
      <c r="A314" s="333"/>
      <c r="B314" s="350"/>
      <c r="C314" s="32"/>
      <c r="D314" s="148"/>
      <c r="E314" s="28"/>
      <c r="F314" s="28"/>
      <c r="G314" s="28"/>
      <c r="H314" s="33">
        <f t="shared" ref="H314:H321" si="29">IF(C314=0,0,120)</f>
        <v>0</v>
      </c>
    </row>
    <row r="315" spans="1:8" x14ac:dyDescent="0.25">
      <c r="A315" s="333"/>
      <c r="B315" s="350"/>
      <c r="C315" s="32"/>
      <c r="D315" s="148"/>
      <c r="E315" s="28"/>
      <c r="F315" s="28"/>
      <c r="G315" s="34"/>
      <c r="H315" s="33">
        <f t="shared" si="29"/>
        <v>0</v>
      </c>
    </row>
    <row r="316" spans="1:8" x14ac:dyDescent="0.25">
      <c r="A316" s="333"/>
      <c r="B316" s="350"/>
      <c r="C316" s="32"/>
      <c r="D316" s="148"/>
      <c r="E316" s="28"/>
      <c r="F316" s="28"/>
      <c r="G316" s="34"/>
      <c r="H316" s="33">
        <f t="shared" si="29"/>
        <v>0</v>
      </c>
    </row>
    <row r="317" spans="1:8" x14ac:dyDescent="0.25">
      <c r="A317" s="333"/>
      <c r="B317" s="350"/>
      <c r="C317" s="32"/>
      <c r="D317" s="148"/>
      <c r="E317" s="28"/>
      <c r="F317" s="28"/>
      <c r="G317" s="34"/>
      <c r="H317" s="33">
        <f t="shared" si="29"/>
        <v>0</v>
      </c>
    </row>
    <row r="318" spans="1:8" x14ac:dyDescent="0.25">
      <c r="A318" s="333"/>
      <c r="B318" s="350"/>
      <c r="C318" s="32"/>
      <c r="D318" s="148"/>
      <c r="E318" s="28"/>
      <c r="F318" s="28"/>
      <c r="G318" s="34"/>
      <c r="H318" s="33">
        <f t="shared" si="29"/>
        <v>0</v>
      </c>
    </row>
    <row r="319" spans="1:8" x14ac:dyDescent="0.25">
      <c r="A319" s="333"/>
      <c r="B319" s="350"/>
      <c r="C319" s="32"/>
      <c r="D319" s="148"/>
      <c r="E319" s="28"/>
      <c r="F319" s="28"/>
      <c r="G319" s="34"/>
      <c r="H319" s="33">
        <f t="shared" si="29"/>
        <v>0</v>
      </c>
    </row>
    <row r="320" spans="1:8" x14ac:dyDescent="0.25">
      <c r="A320" s="333"/>
      <c r="B320" s="350"/>
      <c r="C320" s="32"/>
      <c r="D320" s="148"/>
      <c r="E320" s="28"/>
      <c r="F320" s="28"/>
      <c r="G320" s="34"/>
      <c r="H320" s="33">
        <f t="shared" si="29"/>
        <v>0</v>
      </c>
    </row>
    <row r="321" spans="1:8" ht="15.75" thickBot="1" x14ac:dyDescent="0.3">
      <c r="A321" s="333"/>
      <c r="B321" s="351"/>
      <c r="C321" s="32"/>
      <c r="D321" s="148"/>
      <c r="E321" s="28"/>
      <c r="F321" s="28"/>
      <c r="G321" s="34"/>
      <c r="H321" s="33">
        <f t="shared" si="29"/>
        <v>0</v>
      </c>
    </row>
    <row r="322" spans="1:8" ht="15.75" thickBot="1" x14ac:dyDescent="0.3">
      <c r="A322" s="333"/>
      <c r="B322" s="355" t="s">
        <v>245</v>
      </c>
      <c r="C322" s="39" t="s">
        <v>248</v>
      </c>
      <c r="D322" s="36"/>
      <c r="E322" s="58"/>
      <c r="F322" s="58"/>
      <c r="G322" s="37">
        <f>G323+G333</f>
        <v>0</v>
      </c>
      <c r="H322" s="75">
        <f>H323+H333+H343</f>
        <v>0</v>
      </c>
    </row>
    <row r="323" spans="1:8" x14ac:dyDescent="0.25">
      <c r="A323" s="333"/>
      <c r="B323" s="353"/>
      <c r="C323" s="36" t="s">
        <v>52</v>
      </c>
      <c r="D323" s="53"/>
      <c r="E323" s="35"/>
      <c r="F323" s="35"/>
      <c r="G323" s="59">
        <f>COUNTIF(D325:D332,"nu")</f>
        <v>0</v>
      </c>
      <c r="H323" s="60">
        <f>SUMIF(D325:D332,"NU",H325:H332)</f>
        <v>0</v>
      </c>
    </row>
    <row r="324" spans="1:8" ht="15.75" thickBot="1" x14ac:dyDescent="0.3">
      <c r="A324" s="333"/>
      <c r="B324" s="353"/>
      <c r="C324" s="36" t="s">
        <v>239</v>
      </c>
      <c r="D324" s="53" t="s">
        <v>192</v>
      </c>
      <c r="E324" s="35"/>
      <c r="F324" s="35"/>
      <c r="G324" s="61">
        <f>COUNTIF(D325:D332,"da")</f>
        <v>0</v>
      </c>
      <c r="H324" s="62">
        <f>SUMIF(D325:D332,"DA",H325:H332)</f>
        <v>0</v>
      </c>
    </row>
    <row r="325" spans="1:8" x14ac:dyDescent="0.25">
      <c r="A325" s="333"/>
      <c r="B325" s="353"/>
      <c r="C325" s="44"/>
      <c r="D325" s="55"/>
      <c r="E325" s="36"/>
      <c r="F325" s="36"/>
      <c r="G325" s="36"/>
      <c r="H325" s="56">
        <f t="shared" ref="H325:H332" si="30">IF(C325=0,0,60)</f>
        <v>0</v>
      </c>
    </row>
    <row r="326" spans="1:8" x14ac:dyDescent="0.25">
      <c r="A326" s="333"/>
      <c r="B326" s="353"/>
      <c r="C326" s="44"/>
      <c r="D326" s="55"/>
      <c r="E326" s="36"/>
      <c r="F326" s="36"/>
      <c r="G326" s="36"/>
      <c r="H326" s="56">
        <f t="shared" si="30"/>
        <v>0</v>
      </c>
    </row>
    <row r="327" spans="1:8" x14ac:dyDescent="0.25">
      <c r="A327" s="333"/>
      <c r="B327" s="353"/>
      <c r="C327" s="44"/>
      <c r="D327" s="55"/>
      <c r="E327" s="36"/>
      <c r="F327" s="36"/>
      <c r="G327" s="36"/>
      <c r="H327" s="56">
        <f t="shared" si="30"/>
        <v>0</v>
      </c>
    </row>
    <row r="328" spans="1:8" x14ac:dyDescent="0.25">
      <c r="A328" s="333"/>
      <c r="B328" s="353"/>
      <c r="C328" s="44"/>
      <c r="D328" s="55"/>
      <c r="E328" s="36"/>
      <c r="F328" s="36"/>
      <c r="G328" s="36"/>
      <c r="H328" s="56">
        <f t="shared" si="30"/>
        <v>0</v>
      </c>
    </row>
    <row r="329" spans="1:8" x14ac:dyDescent="0.25">
      <c r="A329" s="333"/>
      <c r="B329" s="353"/>
      <c r="C329" s="44"/>
      <c r="D329" s="55"/>
      <c r="E329" s="36"/>
      <c r="F329" s="36"/>
      <c r="G329" s="36"/>
      <c r="H329" s="56">
        <f t="shared" si="30"/>
        <v>0</v>
      </c>
    </row>
    <row r="330" spans="1:8" x14ac:dyDescent="0.25">
      <c r="A330" s="333"/>
      <c r="B330" s="353"/>
      <c r="C330" s="44"/>
      <c r="D330" s="55"/>
      <c r="E330" s="36"/>
      <c r="F330" s="36"/>
      <c r="G330" s="36"/>
      <c r="H330" s="56">
        <f t="shared" si="30"/>
        <v>0</v>
      </c>
    </row>
    <row r="331" spans="1:8" x14ac:dyDescent="0.25">
      <c r="A331" s="333"/>
      <c r="B331" s="353"/>
      <c r="C331" s="44"/>
      <c r="D331" s="55"/>
      <c r="E331" s="36"/>
      <c r="F331" s="36"/>
      <c r="G331" s="36"/>
      <c r="H331" s="56">
        <f t="shared" si="30"/>
        <v>0</v>
      </c>
    </row>
    <row r="332" spans="1:8" ht="15.75" thickBot="1" x14ac:dyDescent="0.3">
      <c r="A332" s="333"/>
      <c r="B332" s="353"/>
      <c r="C332" s="44"/>
      <c r="D332" s="55"/>
      <c r="E332" s="36"/>
      <c r="F332" s="36"/>
      <c r="G332" s="36"/>
      <c r="H332" s="56">
        <f t="shared" si="30"/>
        <v>0</v>
      </c>
    </row>
    <row r="333" spans="1:8" x14ac:dyDescent="0.25">
      <c r="A333" s="333"/>
      <c r="B333" s="353"/>
      <c r="C333" s="36" t="s">
        <v>53</v>
      </c>
      <c r="D333" s="36"/>
      <c r="E333" s="36"/>
      <c r="F333" s="36"/>
      <c r="G333" s="59">
        <f>COUNTIF(D335:D342,"nu")</f>
        <v>0</v>
      </c>
      <c r="H333" s="60">
        <f>SUMIF(D335:D342,"NU",H335:H342)</f>
        <v>0</v>
      </c>
    </row>
    <row r="334" spans="1:8" ht="15.75" thickBot="1" x14ac:dyDescent="0.3">
      <c r="A334" s="333"/>
      <c r="B334" s="353"/>
      <c r="C334" s="36" t="s">
        <v>240</v>
      </c>
      <c r="D334" s="53" t="s">
        <v>192</v>
      </c>
      <c r="E334" s="36"/>
      <c r="F334" s="36" t="s">
        <v>11</v>
      </c>
      <c r="G334" s="61">
        <f>COUNTIF(D335:D342,"da")</f>
        <v>0</v>
      </c>
      <c r="H334" s="62">
        <f>SUMIF(D335:D342,"DA",H335:H342)</f>
        <v>0</v>
      </c>
    </row>
    <row r="335" spans="1:8" x14ac:dyDescent="0.25">
      <c r="A335" s="333"/>
      <c r="B335" s="353"/>
      <c r="C335" s="44"/>
      <c r="D335" s="55"/>
      <c r="E335" s="44"/>
      <c r="F335" s="44"/>
      <c r="G335" s="36"/>
      <c r="H335" s="56">
        <f t="shared" ref="H335:H342" si="31">IF(F335=0,0,60/F335)</f>
        <v>0</v>
      </c>
    </row>
    <row r="336" spans="1:8" x14ac:dyDescent="0.25">
      <c r="A336" s="333"/>
      <c r="B336" s="353"/>
      <c r="C336" s="44"/>
      <c r="D336" s="55"/>
      <c r="E336" s="44"/>
      <c r="F336" s="44"/>
      <c r="G336" s="36"/>
      <c r="H336" s="56">
        <f t="shared" si="31"/>
        <v>0</v>
      </c>
    </row>
    <row r="337" spans="1:8" x14ac:dyDescent="0.25">
      <c r="A337" s="333"/>
      <c r="B337" s="353"/>
      <c r="C337" s="44"/>
      <c r="D337" s="55"/>
      <c r="E337" s="44"/>
      <c r="F337" s="44"/>
      <c r="G337" s="36"/>
      <c r="H337" s="56">
        <f t="shared" si="31"/>
        <v>0</v>
      </c>
    </row>
    <row r="338" spans="1:8" x14ac:dyDescent="0.25">
      <c r="A338" s="333"/>
      <c r="B338" s="353"/>
      <c r="C338" s="44"/>
      <c r="D338" s="55"/>
      <c r="E338" s="44"/>
      <c r="F338" s="44"/>
      <c r="G338" s="36"/>
      <c r="H338" s="56">
        <f>IF(F338=0,0,60/F338)</f>
        <v>0</v>
      </c>
    </row>
    <row r="339" spans="1:8" x14ac:dyDescent="0.25">
      <c r="A339" s="333"/>
      <c r="B339" s="353"/>
      <c r="C339" s="44"/>
      <c r="D339" s="55"/>
      <c r="E339" s="44"/>
      <c r="F339" s="44"/>
      <c r="G339" s="36"/>
      <c r="H339" s="56">
        <f t="shared" si="31"/>
        <v>0</v>
      </c>
    </row>
    <row r="340" spans="1:8" x14ac:dyDescent="0.25">
      <c r="A340" s="333"/>
      <c r="B340" s="353"/>
      <c r="C340" s="44"/>
      <c r="D340" s="55"/>
      <c r="E340" s="44"/>
      <c r="F340" s="44"/>
      <c r="G340" s="36"/>
      <c r="H340" s="56">
        <f t="shared" si="31"/>
        <v>0</v>
      </c>
    </row>
    <row r="341" spans="1:8" x14ac:dyDescent="0.25">
      <c r="A341" s="333"/>
      <c r="B341" s="353"/>
      <c r="C341" s="44"/>
      <c r="D341" s="55"/>
      <c r="E341" s="44"/>
      <c r="F341" s="44"/>
      <c r="G341" s="36"/>
      <c r="H341" s="56">
        <f t="shared" si="31"/>
        <v>0</v>
      </c>
    </row>
    <row r="342" spans="1:8" ht="15.75" thickBot="1" x14ac:dyDescent="0.3">
      <c r="A342" s="333"/>
      <c r="B342" s="353"/>
      <c r="C342" s="44"/>
      <c r="D342" s="55"/>
      <c r="E342" s="44"/>
      <c r="F342" s="44"/>
      <c r="G342" s="36"/>
      <c r="H342" s="56">
        <f t="shared" si="31"/>
        <v>0</v>
      </c>
    </row>
    <row r="343" spans="1:8" x14ac:dyDescent="0.25">
      <c r="A343" s="333"/>
      <c r="B343" s="353"/>
      <c r="C343" s="36" t="s">
        <v>442</v>
      </c>
      <c r="D343" s="36"/>
      <c r="E343" s="36"/>
      <c r="F343" s="36"/>
      <c r="G343" s="59">
        <f>COUNTIF(D345:D352,"nu")</f>
        <v>0</v>
      </c>
      <c r="H343" s="60">
        <f>SUMIF(D345:D352,"NU",H345:H352)</f>
        <v>0</v>
      </c>
    </row>
    <row r="344" spans="1:8" ht="15.75" thickBot="1" x14ac:dyDescent="0.3">
      <c r="A344" s="333"/>
      <c r="B344" s="353"/>
      <c r="C344" s="36" t="s">
        <v>443</v>
      </c>
      <c r="D344" s="53" t="s">
        <v>192</v>
      </c>
      <c r="E344" s="36"/>
      <c r="F344" s="36"/>
      <c r="G344" s="61">
        <f>COUNTIF(D345:D352,"da")</f>
        <v>0</v>
      </c>
      <c r="H344" s="62">
        <f>SUMIF(D345:D352,"DA",H345:H352)</f>
        <v>0</v>
      </c>
    </row>
    <row r="345" spans="1:8" x14ac:dyDescent="0.25">
      <c r="A345" s="333"/>
      <c r="B345" s="353"/>
      <c r="C345" s="44"/>
      <c r="D345" s="55"/>
      <c r="E345" s="36"/>
      <c r="F345" s="36"/>
      <c r="G345" s="36"/>
      <c r="H345" s="56">
        <f t="shared" ref="H345:H352" si="32">IF(C345=0,0,20)</f>
        <v>0</v>
      </c>
    </row>
    <row r="346" spans="1:8" x14ac:dyDescent="0.25">
      <c r="A346" s="333"/>
      <c r="B346" s="353"/>
      <c r="C346" s="44"/>
      <c r="D346" s="209"/>
      <c r="E346" s="57"/>
      <c r="F346" s="57"/>
      <c r="G346" s="57"/>
      <c r="H346" s="56">
        <f t="shared" si="32"/>
        <v>0</v>
      </c>
    </row>
    <row r="347" spans="1:8" x14ac:dyDescent="0.25">
      <c r="A347" s="333"/>
      <c r="B347" s="353"/>
      <c r="C347" s="44"/>
      <c r="D347" s="209"/>
      <c r="E347" s="57"/>
      <c r="F347" s="57"/>
      <c r="G347" s="57"/>
      <c r="H347" s="56">
        <f t="shared" si="32"/>
        <v>0</v>
      </c>
    </row>
    <row r="348" spans="1:8" x14ac:dyDescent="0.25">
      <c r="A348" s="333"/>
      <c r="B348" s="353"/>
      <c r="C348" s="44"/>
      <c r="D348" s="209"/>
      <c r="E348" s="57"/>
      <c r="F348" s="57"/>
      <c r="G348" s="57"/>
      <c r="H348" s="56">
        <f t="shared" si="32"/>
        <v>0</v>
      </c>
    </row>
    <row r="349" spans="1:8" x14ac:dyDescent="0.25">
      <c r="A349" s="333"/>
      <c r="B349" s="353"/>
      <c r="C349" s="44"/>
      <c r="D349" s="209"/>
      <c r="E349" s="57"/>
      <c r="F349" s="57"/>
      <c r="G349" s="57"/>
      <c r="H349" s="56">
        <f t="shared" si="32"/>
        <v>0</v>
      </c>
    </row>
    <row r="350" spans="1:8" x14ac:dyDescent="0.25">
      <c r="A350" s="333"/>
      <c r="B350" s="353"/>
      <c r="C350" s="44"/>
      <c r="D350" s="209"/>
      <c r="E350" s="57"/>
      <c r="F350" s="57"/>
      <c r="G350" s="57"/>
      <c r="H350" s="56">
        <f t="shared" si="32"/>
        <v>0</v>
      </c>
    </row>
    <row r="351" spans="1:8" x14ac:dyDescent="0.25">
      <c r="A351" s="333"/>
      <c r="B351" s="353"/>
      <c r="C351" s="44"/>
      <c r="D351" s="209"/>
      <c r="E351" s="57"/>
      <c r="F351" s="57"/>
      <c r="G351" s="57"/>
      <c r="H351" s="56">
        <f t="shared" si="32"/>
        <v>0</v>
      </c>
    </row>
    <row r="352" spans="1:8" ht="15.75" thickBot="1" x14ac:dyDescent="0.3">
      <c r="A352" s="342"/>
      <c r="B352" s="356"/>
      <c r="C352" s="44"/>
      <c r="D352" s="209"/>
      <c r="E352" s="57"/>
      <c r="F352" s="57"/>
      <c r="G352" s="57"/>
      <c r="H352" s="56">
        <f t="shared" si="32"/>
        <v>0</v>
      </c>
    </row>
    <row r="353" spans="1:8" ht="15.75" thickBot="1" x14ac:dyDescent="0.3">
      <c r="A353" s="335" t="s">
        <v>58</v>
      </c>
      <c r="B353" s="37" t="s">
        <v>59</v>
      </c>
      <c r="C353" s="38"/>
      <c r="D353" s="38"/>
      <c r="E353" s="38"/>
      <c r="F353" s="38"/>
      <c r="G353" s="38">
        <f>G354+G365</f>
        <v>0</v>
      </c>
      <c r="H353" s="75">
        <f>H354+H365+H377</f>
        <v>0</v>
      </c>
    </row>
    <row r="354" spans="1:8" x14ac:dyDescent="0.25">
      <c r="A354" s="333"/>
      <c r="B354" s="357"/>
      <c r="C354" s="36" t="s">
        <v>241</v>
      </c>
      <c r="D354" s="53"/>
      <c r="E354" s="35"/>
      <c r="F354" s="35"/>
      <c r="G354" s="59">
        <f>COUNTIF(D356:D364,"nu")</f>
        <v>0</v>
      </c>
      <c r="H354" s="60">
        <f>SUMIF(D356:D364,"NU",H356:H364)</f>
        <v>0</v>
      </c>
    </row>
    <row r="355" spans="1:8" ht="15.75" thickBot="1" x14ac:dyDescent="0.3">
      <c r="A355" s="333"/>
      <c r="B355" s="357"/>
      <c r="C355" s="36" t="s">
        <v>242</v>
      </c>
      <c r="D355" s="53" t="s">
        <v>192</v>
      </c>
      <c r="E355" s="35"/>
      <c r="F355" s="35"/>
      <c r="G355" s="61">
        <f>COUNTIF(D356:D364,"da")</f>
        <v>0</v>
      </c>
      <c r="H355" s="62">
        <f>SUMIF(D356:D364,"DA",H356:H364)</f>
        <v>0</v>
      </c>
    </row>
    <row r="356" spans="1:8" x14ac:dyDescent="0.25">
      <c r="A356" s="333"/>
      <c r="B356" s="358"/>
      <c r="C356" s="44"/>
      <c r="D356" s="55"/>
      <c r="E356" s="36"/>
      <c r="F356" s="36"/>
      <c r="G356" s="36"/>
      <c r="H356" s="56">
        <f>IF(C356=0,0,50)</f>
        <v>0</v>
      </c>
    </row>
    <row r="357" spans="1:8" x14ac:dyDescent="0.25">
      <c r="A357" s="333"/>
      <c r="B357" s="358"/>
      <c r="C357" s="44"/>
      <c r="D357" s="55"/>
      <c r="E357" s="36"/>
      <c r="F357" s="36"/>
      <c r="G357" s="36"/>
      <c r="H357" s="56">
        <f t="shared" ref="H357:H362" si="33">IF(C357=0,0,50)</f>
        <v>0</v>
      </c>
    </row>
    <row r="358" spans="1:8" x14ac:dyDescent="0.25">
      <c r="A358" s="333"/>
      <c r="B358" s="358"/>
      <c r="C358" s="44"/>
      <c r="D358" s="55"/>
      <c r="E358" s="36"/>
      <c r="F358" s="36"/>
      <c r="G358" s="36"/>
      <c r="H358" s="56">
        <f t="shared" si="33"/>
        <v>0</v>
      </c>
    </row>
    <row r="359" spans="1:8" x14ac:dyDescent="0.25">
      <c r="A359" s="333"/>
      <c r="B359" s="358"/>
      <c r="C359" s="44"/>
      <c r="D359" s="55"/>
      <c r="E359" s="36"/>
      <c r="F359" s="36"/>
      <c r="G359" s="36"/>
      <c r="H359" s="56">
        <f t="shared" si="33"/>
        <v>0</v>
      </c>
    </row>
    <row r="360" spans="1:8" x14ac:dyDescent="0.25">
      <c r="A360" s="333"/>
      <c r="B360" s="358"/>
      <c r="C360" s="44"/>
      <c r="D360" s="55"/>
      <c r="E360" s="36"/>
      <c r="F360" s="36"/>
      <c r="G360" s="36"/>
      <c r="H360" s="56">
        <f t="shared" si="33"/>
        <v>0</v>
      </c>
    </row>
    <row r="361" spans="1:8" x14ac:dyDescent="0.25">
      <c r="A361" s="333"/>
      <c r="B361" s="358"/>
      <c r="C361" s="44"/>
      <c r="D361" s="55"/>
      <c r="E361" s="36"/>
      <c r="F361" s="36"/>
      <c r="G361" s="36"/>
      <c r="H361" s="56">
        <f t="shared" si="33"/>
        <v>0</v>
      </c>
    </row>
    <row r="362" spans="1:8" x14ac:dyDescent="0.25">
      <c r="A362" s="333"/>
      <c r="B362" s="358"/>
      <c r="C362" s="44"/>
      <c r="D362" s="55"/>
      <c r="E362" s="36"/>
      <c r="F362" s="36"/>
      <c r="G362" s="36"/>
      <c r="H362" s="56">
        <f t="shared" si="33"/>
        <v>0</v>
      </c>
    </row>
    <row r="363" spans="1:8" x14ac:dyDescent="0.25">
      <c r="A363" s="333"/>
      <c r="B363" s="358"/>
      <c r="C363" s="44"/>
      <c r="D363" s="55"/>
      <c r="E363" s="36"/>
      <c r="F363" s="36"/>
      <c r="G363" s="36"/>
      <c r="H363" s="56">
        <f>IF(C363=0,0,50)</f>
        <v>0</v>
      </c>
    </row>
    <row r="364" spans="1:8" ht="15.75" thickBot="1" x14ac:dyDescent="0.3">
      <c r="A364" s="333"/>
      <c r="B364" s="358"/>
      <c r="C364" s="44"/>
      <c r="D364" s="55"/>
      <c r="E364" s="36"/>
      <c r="F364" s="36"/>
      <c r="G364" s="36"/>
      <c r="H364" s="56">
        <f>IF(C364=0,0,50)</f>
        <v>0</v>
      </c>
    </row>
    <row r="365" spans="1:8" x14ac:dyDescent="0.25">
      <c r="A365" s="333"/>
      <c r="B365" s="358"/>
      <c r="C365" s="36" t="s">
        <v>243</v>
      </c>
      <c r="D365" s="36"/>
      <c r="E365" s="36"/>
      <c r="F365" s="36"/>
      <c r="G365" s="59">
        <f>COUNTIF(D367:D376,"nu")</f>
        <v>0</v>
      </c>
      <c r="H365" s="60">
        <f>SUMIF(D367:D376,"NU",H367:H376)</f>
        <v>0</v>
      </c>
    </row>
    <row r="366" spans="1:8" ht="15.75" thickBot="1" x14ac:dyDescent="0.3">
      <c r="A366" s="333"/>
      <c r="B366" s="358"/>
      <c r="C366" s="36" t="s">
        <v>244</v>
      </c>
      <c r="D366" s="53" t="s">
        <v>192</v>
      </c>
      <c r="E366" s="36"/>
      <c r="F366" s="36" t="s">
        <v>11</v>
      </c>
      <c r="G366" s="61">
        <f>COUNTIF(D367:D376,"da")</f>
        <v>0</v>
      </c>
      <c r="H366" s="62">
        <f>SUMIF(D367:D376,"DA",H367:H376)</f>
        <v>0</v>
      </c>
    </row>
    <row r="367" spans="1:8" x14ac:dyDescent="0.25">
      <c r="A367" s="333"/>
      <c r="B367" s="358"/>
      <c r="C367" s="44"/>
      <c r="D367" s="55"/>
      <c r="E367" s="44"/>
      <c r="F367" s="44"/>
      <c r="G367" s="36"/>
      <c r="H367" s="56">
        <f>IF(F367=0,0,50/F367)</f>
        <v>0</v>
      </c>
    </row>
    <row r="368" spans="1:8" x14ac:dyDescent="0.25">
      <c r="A368" s="333"/>
      <c r="B368" s="358"/>
      <c r="C368" s="44"/>
      <c r="D368" s="55"/>
      <c r="E368" s="44"/>
      <c r="F368" s="44"/>
      <c r="G368" s="36"/>
      <c r="H368" s="56">
        <f t="shared" ref="H368:H374" si="34">IF(F368=0,0,50/F368)</f>
        <v>0</v>
      </c>
    </row>
    <row r="369" spans="1:8" x14ac:dyDescent="0.25">
      <c r="A369" s="333"/>
      <c r="B369" s="358"/>
      <c r="C369" s="44"/>
      <c r="D369" s="55"/>
      <c r="E369" s="44"/>
      <c r="F369" s="44"/>
      <c r="G369" s="36"/>
      <c r="H369" s="56">
        <f t="shared" si="34"/>
        <v>0</v>
      </c>
    </row>
    <row r="370" spans="1:8" x14ac:dyDescent="0.25">
      <c r="A370" s="333"/>
      <c r="B370" s="358"/>
      <c r="C370" s="44"/>
      <c r="D370" s="55"/>
      <c r="E370" s="44"/>
      <c r="F370" s="44"/>
      <c r="G370" s="36"/>
      <c r="H370" s="56">
        <f t="shared" si="34"/>
        <v>0</v>
      </c>
    </row>
    <row r="371" spans="1:8" x14ac:dyDescent="0.25">
      <c r="A371" s="333"/>
      <c r="B371" s="358"/>
      <c r="C371" s="44"/>
      <c r="D371" s="55"/>
      <c r="E371" s="44"/>
      <c r="F371" s="44"/>
      <c r="G371" s="36"/>
      <c r="H371" s="56">
        <f>IF(F371=0,0,50/F371)</f>
        <v>0</v>
      </c>
    </row>
    <row r="372" spans="1:8" x14ac:dyDescent="0.25">
      <c r="A372" s="333"/>
      <c r="B372" s="358"/>
      <c r="C372" s="44"/>
      <c r="D372" s="55"/>
      <c r="E372" s="44"/>
      <c r="F372" s="44"/>
      <c r="G372" s="36"/>
      <c r="H372" s="56">
        <f t="shared" si="34"/>
        <v>0</v>
      </c>
    </row>
    <row r="373" spans="1:8" x14ac:dyDescent="0.25">
      <c r="A373" s="333"/>
      <c r="B373" s="358"/>
      <c r="C373" s="44"/>
      <c r="D373" s="55"/>
      <c r="E373" s="44"/>
      <c r="F373" s="44"/>
      <c r="G373" s="36"/>
      <c r="H373" s="56">
        <f t="shared" si="34"/>
        <v>0</v>
      </c>
    </row>
    <row r="374" spans="1:8" x14ac:dyDescent="0.25">
      <c r="A374" s="333"/>
      <c r="B374" s="358"/>
      <c r="C374" s="44"/>
      <c r="D374" s="55"/>
      <c r="E374" s="44"/>
      <c r="F374" s="44"/>
      <c r="G374" s="36"/>
      <c r="H374" s="56">
        <f t="shared" si="34"/>
        <v>0</v>
      </c>
    </row>
    <row r="375" spans="1:8" x14ac:dyDescent="0.25">
      <c r="A375" s="333"/>
      <c r="B375" s="358"/>
      <c r="C375" s="44"/>
      <c r="D375" s="55"/>
      <c r="E375" s="44"/>
      <c r="F375" s="44"/>
      <c r="G375" s="36"/>
      <c r="H375" s="56">
        <f>IF(F375=0,0,50/F375)</f>
        <v>0</v>
      </c>
    </row>
    <row r="376" spans="1:8" ht="15.75" thickBot="1" x14ac:dyDescent="0.3">
      <c r="A376" s="333"/>
      <c r="B376" s="358"/>
      <c r="C376" s="44"/>
      <c r="D376" s="55"/>
      <c r="E376" s="44"/>
      <c r="F376" s="44"/>
      <c r="G376" s="36"/>
      <c r="H376" s="56">
        <f>IF(F376=0,0,50/F376)</f>
        <v>0</v>
      </c>
    </row>
    <row r="377" spans="1:8" x14ac:dyDescent="0.25">
      <c r="A377" s="333"/>
      <c r="B377" s="358"/>
      <c r="C377" s="36" t="s">
        <v>452</v>
      </c>
      <c r="D377" s="36"/>
      <c r="E377" s="36"/>
      <c r="F377" s="36"/>
      <c r="G377" s="59">
        <f>COUNTIF(D379:D388,"nu")</f>
        <v>0</v>
      </c>
      <c r="H377" s="60">
        <f>SUMIF(D379:D388,"NU",H379:H388)</f>
        <v>0</v>
      </c>
    </row>
    <row r="378" spans="1:8" ht="15.75" thickBot="1" x14ac:dyDescent="0.3">
      <c r="A378" s="333"/>
      <c r="B378" s="358"/>
      <c r="C378" s="36" t="s">
        <v>453</v>
      </c>
      <c r="D378" s="53" t="s">
        <v>192</v>
      </c>
      <c r="E378" s="36"/>
      <c r="F378" s="36"/>
      <c r="G378" s="61">
        <f>COUNTIF(D379:D388,"da")</f>
        <v>0</v>
      </c>
      <c r="H378" s="62">
        <f>SUMIF(D379:D388,"DA",H379:H388)</f>
        <v>0</v>
      </c>
    </row>
    <row r="379" spans="1:8" x14ac:dyDescent="0.25">
      <c r="A379" s="333"/>
      <c r="B379" s="358"/>
      <c r="C379" s="44"/>
      <c r="D379" s="55"/>
      <c r="E379" s="36"/>
      <c r="F379" s="36"/>
      <c r="G379" s="36"/>
      <c r="H379" s="56">
        <f>IF(C379=0,0,12)</f>
        <v>0</v>
      </c>
    </row>
    <row r="380" spans="1:8" x14ac:dyDescent="0.25">
      <c r="A380" s="333"/>
      <c r="B380" s="359"/>
      <c r="C380" s="44"/>
      <c r="D380" s="209"/>
      <c r="E380" s="57"/>
      <c r="F380" s="57"/>
      <c r="G380" s="57"/>
      <c r="H380" s="56">
        <f t="shared" ref="H380:H386" si="35">IF(C380=0,0,12)</f>
        <v>0</v>
      </c>
    </row>
    <row r="381" spans="1:8" x14ac:dyDescent="0.25">
      <c r="A381" s="333"/>
      <c r="B381" s="359"/>
      <c r="C381" s="44"/>
      <c r="D381" s="209"/>
      <c r="E381" s="57"/>
      <c r="F381" s="57"/>
      <c r="G381" s="57"/>
      <c r="H381" s="56">
        <f t="shared" si="35"/>
        <v>0</v>
      </c>
    </row>
    <row r="382" spans="1:8" x14ac:dyDescent="0.25">
      <c r="A382" s="333"/>
      <c r="B382" s="359"/>
      <c r="C382" s="44"/>
      <c r="D382" s="209"/>
      <c r="E382" s="57"/>
      <c r="F382" s="57"/>
      <c r="G382" s="57"/>
      <c r="H382" s="56">
        <f t="shared" si="35"/>
        <v>0</v>
      </c>
    </row>
    <row r="383" spans="1:8" x14ac:dyDescent="0.25">
      <c r="A383" s="333"/>
      <c r="B383" s="359"/>
      <c r="C383" s="44"/>
      <c r="D383" s="209"/>
      <c r="E383" s="57"/>
      <c r="F383" s="57"/>
      <c r="G383" s="57"/>
      <c r="H383" s="56">
        <f>IF(C383=0,0,12)</f>
        <v>0</v>
      </c>
    </row>
    <row r="384" spans="1:8" x14ac:dyDescent="0.25">
      <c r="A384" s="333"/>
      <c r="B384" s="359"/>
      <c r="C384" s="44"/>
      <c r="D384" s="209"/>
      <c r="E384" s="57"/>
      <c r="F384" s="57"/>
      <c r="G384" s="57"/>
      <c r="H384" s="56">
        <f t="shared" si="35"/>
        <v>0</v>
      </c>
    </row>
    <row r="385" spans="1:8" x14ac:dyDescent="0.25">
      <c r="A385" s="333"/>
      <c r="B385" s="359"/>
      <c r="C385" s="44"/>
      <c r="D385" s="209"/>
      <c r="E385" s="57"/>
      <c r="F385" s="57"/>
      <c r="G385" s="57"/>
      <c r="H385" s="56">
        <f t="shared" si="35"/>
        <v>0</v>
      </c>
    </row>
    <row r="386" spans="1:8" x14ac:dyDescent="0.25">
      <c r="A386" s="333"/>
      <c r="B386" s="359"/>
      <c r="C386" s="44"/>
      <c r="D386" s="209"/>
      <c r="E386" s="57"/>
      <c r="F386" s="57"/>
      <c r="G386" s="57"/>
      <c r="H386" s="56">
        <f t="shared" si="35"/>
        <v>0</v>
      </c>
    </row>
    <row r="387" spans="1:8" x14ac:dyDescent="0.25">
      <c r="A387" s="333"/>
      <c r="B387" s="359"/>
      <c r="C387" s="44"/>
      <c r="D387" s="209"/>
      <c r="E387" s="57"/>
      <c r="F387" s="57"/>
      <c r="G387" s="57"/>
      <c r="H387" s="56">
        <f>IF(C387=0,0,12)</f>
        <v>0</v>
      </c>
    </row>
    <row r="388" spans="1:8" ht="15.75" thickBot="1" x14ac:dyDescent="0.3">
      <c r="A388" s="342"/>
      <c r="B388" s="359"/>
      <c r="C388" s="44"/>
      <c r="D388" s="209"/>
      <c r="E388" s="57"/>
      <c r="F388" s="57"/>
      <c r="G388" s="57"/>
      <c r="H388" s="56">
        <f>IF(C388=0,0,12)</f>
        <v>0</v>
      </c>
    </row>
    <row r="389" spans="1:8" ht="15.75" thickBot="1" x14ac:dyDescent="0.3">
      <c r="A389" s="335" t="s">
        <v>60</v>
      </c>
      <c r="B389" s="37" t="s">
        <v>61</v>
      </c>
      <c r="C389" s="38"/>
      <c r="D389" s="38"/>
      <c r="E389" s="38"/>
      <c r="F389" s="38"/>
      <c r="G389" s="38">
        <f>G390+G399</f>
        <v>0</v>
      </c>
      <c r="H389" s="75">
        <f>H390+H399+H409</f>
        <v>0</v>
      </c>
    </row>
    <row r="390" spans="1:8" x14ac:dyDescent="0.25">
      <c r="A390" s="333"/>
      <c r="B390" s="360"/>
      <c r="C390" s="36" t="s">
        <v>46</v>
      </c>
      <c r="D390" s="53"/>
      <c r="E390" s="35"/>
      <c r="F390" s="35"/>
      <c r="G390" s="59">
        <f>COUNTIF(D392:D398,"nu")</f>
        <v>0</v>
      </c>
      <c r="H390" s="60">
        <f>SUMIF(D392:D398,"NU",H392:H398)</f>
        <v>0</v>
      </c>
    </row>
    <row r="391" spans="1:8" ht="15.75" thickBot="1" x14ac:dyDescent="0.3">
      <c r="A391" s="333"/>
      <c r="B391" s="360"/>
      <c r="C391" s="36" t="s">
        <v>234</v>
      </c>
      <c r="D391" s="53" t="s">
        <v>192</v>
      </c>
      <c r="E391" s="35"/>
      <c r="F391" s="35"/>
      <c r="G391" s="61">
        <f>COUNTIF(D392:D398,"da")</f>
        <v>0</v>
      </c>
      <c r="H391" s="62">
        <f>SUMIF(D392:D398,"DA",H392:H398)</f>
        <v>0</v>
      </c>
    </row>
    <row r="392" spans="1:8" x14ac:dyDescent="0.25">
      <c r="A392" s="333"/>
      <c r="B392" s="361"/>
      <c r="C392" s="44"/>
      <c r="D392" s="55"/>
      <c r="E392" s="36"/>
      <c r="F392" s="36"/>
      <c r="G392" s="36"/>
      <c r="H392" s="56">
        <f t="shared" ref="H392:H398" si="36">IF(C392=0,0,20)</f>
        <v>0</v>
      </c>
    </row>
    <row r="393" spans="1:8" x14ac:dyDescent="0.25">
      <c r="A393" s="333"/>
      <c r="B393" s="361"/>
      <c r="C393" s="44"/>
      <c r="D393" s="55"/>
      <c r="E393" s="36"/>
      <c r="F393" s="36"/>
      <c r="G393" s="36"/>
      <c r="H393" s="56">
        <f t="shared" si="36"/>
        <v>0</v>
      </c>
    </row>
    <row r="394" spans="1:8" x14ac:dyDescent="0.25">
      <c r="A394" s="333"/>
      <c r="B394" s="361"/>
      <c r="C394" s="44"/>
      <c r="D394" s="55"/>
      <c r="E394" s="36"/>
      <c r="F394" s="36"/>
      <c r="G394" s="36"/>
      <c r="H394" s="56">
        <f t="shared" si="36"/>
        <v>0</v>
      </c>
    </row>
    <row r="395" spans="1:8" x14ac:dyDescent="0.25">
      <c r="A395" s="333"/>
      <c r="B395" s="361"/>
      <c r="C395" s="44"/>
      <c r="D395" s="55"/>
      <c r="E395" s="36"/>
      <c r="F395" s="36"/>
      <c r="G395" s="36"/>
      <c r="H395" s="56">
        <f t="shared" si="36"/>
        <v>0</v>
      </c>
    </row>
    <row r="396" spans="1:8" x14ac:dyDescent="0.25">
      <c r="A396" s="333"/>
      <c r="B396" s="361"/>
      <c r="C396" s="44"/>
      <c r="D396" s="55"/>
      <c r="E396" s="36"/>
      <c r="F396" s="36"/>
      <c r="G396" s="36"/>
      <c r="H396" s="56">
        <f t="shared" si="36"/>
        <v>0</v>
      </c>
    </row>
    <row r="397" spans="1:8" x14ac:dyDescent="0.25">
      <c r="A397" s="333"/>
      <c r="B397" s="361"/>
      <c r="C397" s="44"/>
      <c r="D397" s="55"/>
      <c r="E397" s="36"/>
      <c r="F397" s="36"/>
      <c r="G397" s="36"/>
      <c r="H397" s="56">
        <f t="shared" si="36"/>
        <v>0</v>
      </c>
    </row>
    <row r="398" spans="1:8" ht="15.75" thickBot="1" x14ac:dyDescent="0.3">
      <c r="A398" s="333"/>
      <c r="B398" s="361"/>
      <c r="C398" s="44"/>
      <c r="D398" s="55"/>
      <c r="E398" s="36"/>
      <c r="F398" s="36"/>
      <c r="G398" s="36"/>
      <c r="H398" s="56">
        <f t="shared" si="36"/>
        <v>0</v>
      </c>
    </row>
    <row r="399" spans="1:8" x14ac:dyDescent="0.25">
      <c r="A399" s="333"/>
      <c r="B399" s="361"/>
      <c r="C399" s="36" t="s">
        <v>49</v>
      </c>
      <c r="D399" s="36"/>
      <c r="E399" s="36"/>
      <c r="F399" s="36"/>
      <c r="G399" s="59">
        <f>COUNTIF(D401:D408,"nu")</f>
        <v>0</v>
      </c>
      <c r="H399" s="60">
        <f>SUMIF(D401:D408,"NU",H401:H408)</f>
        <v>0</v>
      </c>
    </row>
    <row r="400" spans="1:8" ht="15.75" thickBot="1" x14ac:dyDescent="0.3">
      <c r="A400" s="333"/>
      <c r="B400" s="361"/>
      <c r="C400" s="36" t="s">
        <v>235</v>
      </c>
      <c r="D400" s="53" t="s">
        <v>192</v>
      </c>
      <c r="E400" s="36"/>
      <c r="F400" s="36" t="s">
        <v>11</v>
      </c>
      <c r="G400" s="61">
        <f>COUNTIF(D401:D408,"da")</f>
        <v>0</v>
      </c>
      <c r="H400" s="62">
        <f>SUMIF(D401:D408,"DA",H401:H408)</f>
        <v>0</v>
      </c>
    </row>
    <row r="401" spans="1:8" x14ac:dyDescent="0.25">
      <c r="A401" s="333"/>
      <c r="B401" s="361"/>
      <c r="C401" s="44"/>
      <c r="D401" s="55"/>
      <c r="E401" s="44"/>
      <c r="F401" s="44"/>
      <c r="G401" s="36"/>
      <c r="H401" s="56">
        <f t="shared" ref="H401:H408" si="37">IF(F401=0,0,20/F401)</f>
        <v>0</v>
      </c>
    </row>
    <row r="402" spans="1:8" x14ac:dyDescent="0.25">
      <c r="A402" s="333"/>
      <c r="B402" s="361"/>
      <c r="C402" s="44"/>
      <c r="D402" s="55"/>
      <c r="E402" s="44"/>
      <c r="F402" s="44"/>
      <c r="G402" s="36"/>
      <c r="H402" s="56">
        <f t="shared" si="37"/>
        <v>0</v>
      </c>
    </row>
    <row r="403" spans="1:8" x14ac:dyDescent="0.25">
      <c r="A403" s="333"/>
      <c r="B403" s="361"/>
      <c r="C403" s="44"/>
      <c r="D403" s="55"/>
      <c r="E403" s="44"/>
      <c r="F403" s="44"/>
      <c r="G403" s="36"/>
      <c r="H403" s="56">
        <f t="shared" si="37"/>
        <v>0</v>
      </c>
    </row>
    <row r="404" spans="1:8" x14ac:dyDescent="0.25">
      <c r="A404" s="333"/>
      <c r="B404" s="361"/>
      <c r="C404" s="44"/>
      <c r="D404" s="55"/>
      <c r="E404" s="44"/>
      <c r="F404" s="44"/>
      <c r="G404" s="36"/>
      <c r="H404" s="56">
        <f t="shared" si="37"/>
        <v>0</v>
      </c>
    </row>
    <row r="405" spans="1:8" x14ac:dyDescent="0.25">
      <c r="A405" s="333"/>
      <c r="B405" s="361"/>
      <c r="C405" s="44"/>
      <c r="D405" s="55"/>
      <c r="E405" s="44"/>
      <c r="F405" s="44"/>
      <c r="G405" s="36"/>
      <c r="H405" s="56">
        <f>IF(F405=0,0,20/F405)</f>
        <v>0</v>
      </c>
    </row>
    <row r="406" spans="1:8" x14ac:dyDescent="0.25">
      <c r="A406" s="333"/>
      <c r="B406" s="361"/>
      <c r="C406" s="44"/>
      <c r="D406" s="55"/>
      <c r="E406" s="44"/>
      <c r="F406" s="44"/>
      <c r="G406" s="36"/>
      <c r="H406" s="56">
        <f t="shared" si="37"/>
        <v>0</v>
      </c>
    </row>
    <row r="407" spans="1:8" x14ac:dyDescent="0.25">
      <c r="A407" s="333"/>
      <c r="B407" s="361"/>
      <c r="C407" s="44"/>
      <c r="D407" s="55"/>
      <c r="E407" s="44"/>
      <c r="F407" s="44"/>
      <c r="G407" s="36"/>
      <c r="H407" s="56">
        <f t="shared" si="37"/>
        <v>0</v>
      </c>
    </row>
    <row r="408" spans="1:8" ht="15.75" thickBot="1" x14ac:dyDescent="0.3">
      <c r="A408" s="333"/>
      <c r="B408" s="361"/>
      <c r="C408" s="44"/>
      <c r="D408" s="55"/>
      <c r="E408" s="44"/>
      <c r="F408" s="44"/>
      <c r="G408" s="36"/>
      <c r="H408" s="56">
        <f t="shared" si="37"/>
        <v>0</v>
      </c>
    </row>
    <row r="409" spans="1:8" x14ac:dyDescent="0.25">
      <c r="A409" s="333"/>
      <c r="B409" s="361"/>
      <c r="C409" s="36" t="s">
        <v>440</v>
      </c>
      <c r="D409" s="36"/>
      <c r="E409" s="36"/>
      <c r="F409" s="36"/>
      <c r="G409" s="59">
        <f>COUNTIF(D411:D418,"nu")</f>
        <v>0</v>
      </c>
      <c r="H409" s="60">
        <f>SUMIF(D411:D418,"NU",H411:H418)</f>
        <v>0</v>
      </c>
    </row>
    <row r="410" spans="1:8" ht="15.75" thickBot="1" x14ac:dyDescent="0.3">
      <c r="A410" s="333"/>
      <c r="B410" s="361"/>
      <c r="C410" s="36" t="s">
        <v>441</v>
      </c>
      <c r="D410" s="53" t="s">
        <v>192</v>
      </c>
      <c r="E410" s="36"/>
      <c r="F410" s="36"/>
      <c r="G410" s="61">
        <f>COUNTIF(D411:D418,"da")</f>
        <v>0</v>
      </c>
      <c r="H410" s="62">
        <f>SUMIF(D411:D418,"DA",H411:H418)</f>
        <v>0</v>
      </c>
    </row>
    <row r="411" spans="1:8" x14ac:dyDescent="0.25">
      <c r="A411" s="333"/>
      <c r="B411" s="361"/>
      <c r="C411" s="44"/>
      <c r="D411" s="55"/>
      <c r="E411" s="36"/>
      <c r="F411" s="36"/>
      <c r="G411" s="36"/>
      <c r="H411" s="56">
        <f t="shared" ref="H411:H418" si="38">IF(C411=0,0,6)</f>
        <v>0</v>
      </c>
    </row>
    <row r="412" spans="1:8" x14ac:dyDescent="0.25">
      <c r="A412" s="333"/>
      <c r="B412" s="362"/>
      <c r="C412" s="44"/>
      <c r="D412" s="209"/>
      <c r="E412" s="57"/>
      <c r="F412" s="57"/>
      <c r="G412" s="57"/>
      <c r="H412" s="56">
        <f t="shared" si="38"/>
        <v>0</v>
      </c>
    </row>
    <row r="413" spans="1:8" x14ac:dyDescent="0.25">
      <c r="A413" s="333"/>
      <c r="B413" s="362"/>
      <c r="C413" s="44"/>
      <c r="D413" s="209"/>
      <c r="E413" s="57"/>
      <c r="F413" s="57"/>
      <c r="G413" s="57"/>
      <c r="H413" s="56">
        <f t="shared" si="38"/>
        <v>0</v>
      </c>
    </row>
    <row r="414" spans="1:8" x14ac:dyDescent="0.25">
      <c r="A414" s="333"/>
      <c r="B414" s="362"/>
      <c r="C414" s="44"/>
      <c r="D414" s="209"/>
      <c r="E414" s="57"/>
      <c r="F414" s="57"/>
      <c r="G414" s="57"/>
      <c r="H414" s="56">
        <f t="shared" si="38"/>
        <v>0</v>
      </c>
    </row>
    <row r="415" spans="1:8" x14ac:dyDescent="0.25">
      <c r="A415" s="333"/>
      <c r="B415" s="362"/>
      <c r="C415" s="44"/>
      <c r="D415" s="209"/>
      <c r="E415" s="57"/>
      <c r="F415" s="57"/>
      <c r="G415" s="57"/>
      <c r="H415" s="56">
        <f t="shared" si="38"/>
        <v>0</v>
      </c>
    </row>
    <row r="416" spans="1:8" x14ac:dyDescent="0.25">
      <c r="A416" s="333"/>
      <c r="B416" s="362"/>
      <c r="C416" s="44"/>
      <c r="D416" s="209"/>
      <c r="E416" s="57"/>
      <c r="F416" s="57"/>
      <c r="G416" s="57"/>
      <c r="H416" s="56">
        <f t="shared" si="38"/>
        <v>0</v>
      </c>
    </row>
    <row r="417" spans="1:8" x14ac:dyDescent="0.25">
      <c r="A417" s="333"/>
      <c r="B417" s="362"/>
      <c r="C417" s="44"/>
      <c r="D417" s="209"/>
      <c r="E417" s="57"/>
      <c r="F417" s="57"/>
      <c r="G417" s="57"/>
      <c r="H417" s="56">
        <f t="shared" si="38"/>
        <v>0</v>
      </c>
    </row>
    <row r="418" spans="1:8" ht="15.75" thickBot="1" x14ac:dyDescent="0.3">
      <c r="A418" s="334"/>
      <c r="B418" s="362"/>
      <c r="C418" s="44"/>
      <c r="D418" s="209"/>
      <c r="E418" s="57"/>
      <c r="F418" s="57"/>
      <c r="G418" s="57"/>
      <c r="H418" s="56">
        <f t="shared" si="38"/>
        <v>0</v>
      </c>
    </row>
    <row r="419" spans="1:8" ht="33.75" customHeight="1" thickBot="1" x14ac:dyDescent="0.3">
      <c r="A419" s="346" t="s">
        <v>365</v>
      </c>
      <c r="B419" s="347"/>
      <c r="C419" s="347"/>
      <c r="D419" s="347"/>
      <c r="E419" s="347"/>
      <c r="F419" s="38"/>
      <c r="G419" s="104"/>
      <c r="H419" s="170">
        <f>IF(G3&lt;=10,H74+H99+H152+H353+H389,(H74+H99+H152+H353+H389)/($G$3-5)*5)</f>
        <v>0</v>
      </c>
    </row>
    <row r="420" spans="1:8" ht="15.75" thickBot="1" x14ac:dyDescent="0.3">
      <c r="A420" s="332" t="s">
        <v>62</v>
      </c>
      <c r="B420" s="50" t="s">
        <v>63</v>
      </c>
      <c r="C420" s="65"/>
      <c r="D420" s="65"/>
      <c r="E420" s="65"/>
      <c r="F420" s="229" t="s">
        <v>278</v>
      </c>
      <c r="G420" s="104">
        <f>G421+G422+G424+G425+G427+G428+G430+G431+G433+G434+G436+G437+G440+G441+G443+G444+G446+G447+G449+G450</f>
        <v>0</v>
      </c>
      <c r="H420" s="86">
        <f>SUM(H421:H451)+H151</f>
        <v>0</v>
      </c>
    </row>
    <row r="421" spans="1:8" ht="15.75" customHeight="1" x14ac:dyDescent="0.25">
      <c r="A421" s="333"/>
      <c r="B421" s="374" t="s">
        <v>253</v>
      </c>
      <c r="C421" s="77" t="s">
        <v>231</v>
      </c>
      <c r="D421" s="77"/>
      <c r="E421" s="77"/>
      <c r="F421" s="77"/>
      <c r="G421" s="230">
        <f>G76</f>
        <v>0</v>
      </c>
      <c r="H421" s="230">
        <f>H76</f>
        <v>0</v>
      </c>
    </row>
    <row r="422" spans="1:8" x14ac:dyDescent="0.25">
      <c r="A422" s="333"/>
      <c r="B422" s="348"/>
      <c r="C422" s="36" t="s">
        <v>232</v>
      </c>
      <c r="D422" s="36"/>
      <c r="E422" s="36"/>
      <c r="F422" s="36"/>
      <c r="G422" s="231">
        <f>G84</f>
        <v>0</v>
      </c>
      <c r="H422" s="231">
        <f>H84</f>
        <v>0</v>
      </c>
    </row>
    <row r="423" spans="1:8" x14ac:dyDescent="0.25">
      <c r="A423" s="333"/>
      <c r="B423" s="348"/>
      <c r="C423" s="36" t="s">
        <v>454</v>
      </c>
      <c r="D423" s="36"/>
      <c r="E423" s="36"/>
      <c r="F423" s="36"/>
      <c r="G423" s="231">
        <f>G91</f>
        <v>0</v>
      </c>
      <c r="H423" s="231">
        <f>H91</f>
        <v>0</v>
      </c>
    </row>
    <row r="424" spans="1:8" x14ac:dyDescent="0.25">
      <c r="A424" s="333"/>
      <c r="B424" s="348" t="s">
        <v>254</v>
      </c>
      <c r="C424" s="36" t="s">
        <v>234</v>
      </c>
      <c r="D424" s="36"/>
      <c r="E424" s="36"/>
      <c r="F424" s="36"/>
      <c r="G424" s="231">
        <f>G101</f>
        <v>0</v>
      </c>
      <c r="H424" s="231">
        <f>H101</f>
        <v>0</v>
      </c>
    </row>
    <row r="425" spans="1:8" x14ac:dyDescent="0.25">
      <c r="A425" s="333"/>
      <c r="B425" s="348"/>
      <c r="C425" s="36" t="s">
        <v>235</v>
      </c>
      <c r="D425" s="36"/>
      <c r="E425" s="36"/>
      <c r="F425" s="36"/>
      <c r="G425" s="231">
        <f>G120</f>
        <v>0</v>
      </c>
      <c r="H425" s="231">
        <f>H120</f>
        <v>0</v>
      </c>
    </row>
    <row r="426" spans="1:8" x14ac:dyDescent="0.25">
      <c r="A426" s="333"/>
      <c r="B426" s="348"/>
      <c r="C426" s="36" t="s">
        <v>455</v>
      </c>
      <c r="D426" s="36"/>
      <c r="E426" s="36"/>
      <c r="F426" s="36"/>
      <c r="G426" s="231">
        <f>G137</f>
        <v>0</v>
      </c>
      <c r="H426" s="231">
        <f>H137</f>
        <v>0</v>
      </c>
    </row>
    <row r="427" spans="1:8" x14ac:dyDescent="0.25">
      <c r="A427" s="333"/>
      <c r="B427" s="348" t="s">
        <v>257</v>
      </c>
      <c r="C427" s="36" t="s">
        <v>234</v>
      </c>
      <c r="D427" s="36"/>
      <c r="E427" s="36"/>
      <c r="F427" s="36"/>
      <c r="G427" s="231">
        <f>G155</f>
        <v>0</v>
      </c>
      <c r="H427" s="231">
        <f>H155</f>
        <v>0</v>
      </c>
    </row>
    <row r="428" spans="1:8" x14ac:dyDescent="0.25">
      <c r="A428" s="333"/>
      <c r="B428" s="348"/>
      <c r="C428" s="36" t="s">
        <v>235</v>
      </c>
      <c r="D428" s="36"/>
      <c r="E428" s="36"/>
      <c r="F428" s="36"/>
      <c r="G428" s="231">
        <f>G164</f>
        <v>0</v>
      </c>
      <c r="H428" s="231">
        <f>H164</f>
        <v>0</v>
      </c>
    </row>
    <row r="429" spans="1:8" x14ac:dyDescent="0.25">
      <c r="A429" s="333"/>
      <c r="B429" s="348"/>
      <c r="C429" s="36" t="s">
        <v>441</v>
      </c>
      <c r="D429" s="36"/>
      <c r="E429" s="36"/>
      <c r="F429" s="36"/>
      <c r="G429" s="231">
        <f>G175</f>
        <v>0</v>
      </c>
      <c r="H429" s="231">
        <f>H175</f>
        <v>0</v>
      </c>
    </row>
    <row r="430" spans="1:8" x14ac:dyDescent="0.25">
      <c r="A430" s="333"/>
      <c r="B430" s="348" t="s">
        <v>258</v>
      </c>
      <c r="C430" s="36" t="s">
        <v>239</v>
      </c>
      <c r="D430" s="36"/>
      <c r="E430" s="36"/>
      <c r="F430" s="36"/>
      <c r="G430" s="231">
        <f>G187</f>
        <v>0</v>
      </c>
      <c r="H430" s="231">
        <f>H187</f>
        <v>0</v>
      </c>
    </row>
    <row r="431" spans="1:8" x14ac:dyDescent="0.25">
      <c r="A431" s="333"/>
      <c r="B431" s="348"/>
      <c r="C431" s="36" t="s">
        <v>240</v>
      </c>
      <c r="D431" s="36"/>
      <c r="E431" s="36"/>
      <c r="F431" s="36"/>
      <c r="G431" s="231">
        <f>G195</f>
        <v>0</v>
      </c>
      <c r="H431" s="231">
        <f>H195</f>
        <v>0</v>
      </c>
    </row>
    <row r="432" spans="1:8" ht="15.75" customHeight="1" x14ac:dyDescent="0.25">
      <c r="A432" s="333"/>
      <c r="B432" s="348"/>
      <c r="C432" s="36" t="s">
        <v>443</v>
      </c>
      <c r="D432" s="36"/>
      <c r="E432" s="36"/>
      <c r="F432" s="36"/>
      <c r="G432" s="231">
        <f>G205</f>
        <v>0</v>
      </c>
      <c r="H432" s="231">
        <f>H205</f>
        <v>0</v>
      </c>
    </row>
    <row r="433" spans="1:8" x14ac:dyDescent="0.25">
      <c r="A433" s="333"/>
      <c r="B433" s="348" t="s">
        <v>259</v>
      </c>
      <c r="C433" s="36" t="s">
        <v>249</v>
      </c>
      <c r="D433" s="36"/>
      <c r="E433" s="36"/>
      <c r="F433" s="36"/>
      <c r="G433" s="231">
        <f>G215</f>
        <v>0</v>
      </c>
      <c r="H433" s="231">
        <f>H215</f>
        <v>0</v>
      </c>
    </row>
    <row r="434" spans="1:8" x14ac:dyDescent="0.25">
      <c r="A434" s="333"/>
      <c r="B434" s="348"/>
      <c r="C434" s="36" t="s">
        <v>305</v>
      </c>
      <c r="D434" s="36"/>
      <c r="E434" s="36"/>
      <c r="F434" s="36"/>
      <c r="G434" s="231">
        <f>G224</f>
        <v>0</v>
      </c>
      <c r="H434" s="231">
        <f>H224</f>
        <v>0</v>
      </c>
    </row>
    <row r="435" spans="1:8" x14ac:dyDescent="0.25">
      <c r="A435" s="333"/>
      <c r="B435" s="348"/>
      <c r="C435" s="36" t="s">
        <v>445</v>
      </c>
      <c r="D435" s="36"/>
      <c r="E435" s="36"/>
      <c r="F435" s="36"/>
      <c r="G435" s="231">
        <f>G235</f>
        <v>0</v>
      </c>
      <c r="H435" s="231">
        <f>H235</f>
        <v>0</v>
      </c>
    </row>
    <row r="436" spans="1:8" x14ac:dyDescent="0.25">
      <c r="A436" s="333"/>
      <c r="B436" s="348" t="s">
        <v>260</v>
      </c>
      <c r="C436" s="36" t="s">
        <v>250</v>
      </c>
      <c r="D436" s="36"/>
      <c r="E436" s="36"/>
      <c r="F436" s="36"/>
      <c r="G436" s="231">
        <f>G246</f>
        <v>0</v>
      </c>
      <c r="H436" s="231">
        <f>H246</f>
        <v>0</v>
      </c>
    </row>
    <row r="437" spans="1:8" x14ac:dyDescent="0.25">
      <c r="A437" s="333"/>
      <c r="B437" s="348"/>
      <c r="C437" s="300" t="s">
        <v>306</v>
      </c>
      <c r="D437" s="36"/>
      <c r="E437" s="36"/>
      <c r="F437" s="36"/>
      <c r="G437" s="231">
        <f>G257</f>
        <v>0</v>
      </c>
      <c r="H437" s="231">
        <f>H257</f>
        <v>0</v>
      </c>
    </row>
    <row r="438" spans="1:8" x14ac:dyDescent="0.25">
      <c r="A438" s="333"/>
      <c r="B438" s="348"/>
      <c r="C438" s="28" t="s">
        <v>456</v>
      </c>
      <c r="D438" s="36"/>
      <c r="E438" s="36"/>
      <c r="F438" s="36"/>
      <c r="G438" s="231">
        <f>G272</f>
        <v>0</v>
      </c>
      <c r="H438" s="231">
        <f>H272</f>
        <v>0</v>
      </c>
    </row>
    <row r="439" spans="1:8" x14ac:dyDescent="0.25">
      <c r="A439" s="333"/>
      <c r="B439" s="348"/>
      <c r="C439" s="28" t="s">
        <v>457</v>
      </c>
      <c r="D439" s="36"/>
      <c r="E439" s="36"/>
      <c r="F439" s="36"/>
      <c r="G439" s="231">
        <f>G283</f>
        <v>0</v>
      </c>
      <c r="H439" s="231">
        <f>H283</f>
        <v>0</v>
      </c>
    </row>
    <row r="440" spans="1:8" x14ac:dyDescent="0.25">
      <c r="A440" s="333"/>
      <c r="B440" s="348" t="s">
        <v>261</v>
      </c>
      <c r="C440" s="300" t="s">
        <v>252</v>
      </c>
      <c r="D440" s="36"/>
      <c r="E440" s="36"/>
      <c r="F440" s="36"/>
      <c r="G440" s="231">
        <f>G294</f>
        <v>0</v>
      </c>
      <c r="H440" s="231">
        <f>H294</f>
        <v>0</v>
      </c>
    </row>
    <row r="441" spans="1:8" x14ac:dyDescent="0.25">
      <c r="A441" s="333"/>
      <c r="B441" s="348"/>
      <c r="C441" s="300" t="s">
        <v>307</v>
      </c>
      <c r="D441" s="36"/>
      <c r="E441" s="36"/>
      <c r="F441" s="36"/>
      <c r="G441" s="231">
        <f>G303</f>
        <v>0</v>
      </c>
      <c r="H441" s="231">
        <f>H303</f>
        <v>0</v>
      </c>
    </row>
    <row r="442" spans="1:8" x14ac:dyDescent="0.25">
      <c r="A442" s="333"/>
      <c r="B442" s="348"/>
      <c r="C442" s="300" t="s">
        <v>458</v>
      </c>
      <c r="D442" s="36"/>
      <c r="E442" s="36"/>
      <c r="F442" s="36"/>
      <c r="G442" s="231">
        <f>G313</f>
        <v>0</v>
      </c>
      <c r="H442" s="231">
        <f>H313</f>
        <v>0</v>
      </c>
    </row>
    <row r="443" spans="1:8" x14ac:dyDescent="0.25">
      <c r="A443" s="333"/>
      <c r="B443" s="348" t="s">
        <v>262</v>
      </c>
      <c r="C443" s="300" t="s">
        <v>239</v>
      </c>
      <c r="D443" s="36"/>
      <c r="E443" s="36"/>
      <c r="F443" s="36"/>
      <c r="G443" s="231">
        <f>G324</f>
        <v>0</v>
      </c>
      <c r="H443" s="231">
        <f>H324</f>
        <v>0</v>
      </c>
    </row>
    <row r="444" spans="1:8" x14ac:dyDescent="0.25">
      <c r="A444" s="333"/>
      <c r="B444" s="348"/>
      <c r="C444" s="300" t="s">
        <v>240</v>
      </c>
      <c r="D444" s="36"/>
      <c r="E444" s="36"/>
      <c r="F444" s="36"/>
      <c r="G444" s="231">
        <f>G334</f>
        <v>0</v>
      </c>
      <c r="H444" s="231">
        <f>H334</f>
        <v>0</v>
      </c>
    </row>
    <row r="445" spans="1:8" x14ac:dyDescent="0.25">
      <c r="A445" s="333"/>
      <c r="B445" s="348"/>
      <c r="C445" s="300" t="s">
        <v>459</v>
      </c>
      <c r="D445" s="36"/>
      <c r="E445" s="36"/>
      <c r="F445" s="36"/>
      <c r="G445" s="231">
        <f>G344</f>
        <v>0</v>
      </c>
      <c r="H445" s="231">
        <f>H344</f>
        <v>0</v>
      </c>
    </row>
    <row r="446" spans="1:8" x14ac:dyDescent="0.25">
      <c r="A446" s="333"/>
      <c r="B446" s="348" t="s">
        <v>255</v>
      </c>
      <c r="C446" s="300" t="s">
        <v>242</v>
      </c>
      <c r="D446" s="36"/>
      <c r="E446" s="36"/>
      <c r="F446" s="36"/>
      <c r="G446" s="231">
        <f>G355</f>
        <v>0</v>
      </c>
      <c r="H446" s="231">
        <f>H355</f>
        <v>0</v>
      </c>
    </row>
    <row r="447" spans="1:8" x14ac:dyDescent="0.25">
      <c r="A447" s="333"/>
      <c r="B447" s="348"/>
      <c r="C447" s="300" t="s">
        <v>244</v>
      </c>
      <c r="D447" s="36"/>
      <c r="E447" s="36"/>
      <c r="F447" s="36"/>
      <c r="G447" s="231">
        <f>G366</f>
        <v>0</v>
      </c>
      <c r="H447" s="231">
        <f>H366</f>
        <v>0</v>
      </c>
    </row>
    <row r="448" spans="1:8" x14ac:dyDescent="0.25">
      <c r="A448" s="333"/>
      <c r="B448" s="348"/>
      <c r="C448" s="300" t="s">
        <v>460</v>
      </c>
      <c r="D448" s="36"/>
      <c r="E448" s="36"/>
      <c r="F448" s="36"/>
      <c r="G448" s="231">
        <f>G378</f>
        <v>0</v>
      </c>
      <c r="H448" s="231">
        <f>H378</f>
        <v>0</v>
      </c>
    </row>
    <row r="449" spans="1:8" x14ac:dyDescent="0.25">
      <c r="A449" s="333"/>
      <c r="B449" s="348" t="s">
        <v>256</v>
      </c>
      <c r="C449" s="300" t="s">
        <v>234</v>
      </c>
      <c r="D449" s="36"/>
      <c r="E449" s="36"/>
      <c r="F449" s="36"/>
      <c r="G449" s="231">
        <f>G391</f>
        <v>0</v>
      </c>
      <c r="H449" s="231">
        <f>H391</f>
        <v>0</v>
      </c>
    </row>
    <row r="450" spans="1:8" x14ac:dyDescent="0.25">
      <c r="A450" s="333"/>
      <c r="B450" s="348"/>
      <c r="C450" s="36" t="s">
        <v>235</v>
      </c>
      <c r="D450" s="36"/>
      <c r="E450" s="36"/>
      <c r="F450" s="36"/>
      <c r="G450" s="231">
        <f>G400</f>
        <v>0</v>
      </c>
      <c r="H450" s="231">
        <f>H400</f>
        <v>0</v>
      </c>
    </row>
    <row r="451" spans="1:8" ht="15.75" thickBot="1" x14ac:dyDescent="0.3">
      <c r="A451" s="333"/>
      <c r="B451" s="375"/>
      <c r="C451" s="36" t="s">
        <v>461</v>
      </c>
      <c r="D451" s="36"/>
      <c r="E451" s="36"/>
      <c r="F451" s="36"/>
      <c r="G451" s="231">
        <f>G410</f>
        <v>0</v>
      </c>
      <c r="H451" s="231">
        <f>H410</f>
        <v>0</v>
      </c>
    </row>
    <row r="452" spans="1:8" ht="15.75" thickBot="1" x14ac:dyDescent="0.3">
      <c r="A452" s="335" t="s">
        <v>67</v>
      </c>
      <c r="B452" s="37" t="s">
        <v>64</v>
      </c>
      <c r="C452" s="38"/>
      <c r="D452" s="38"/>
      <c r="E452" s="38"/>
      <c r="F452" s="38"/>
      <c r="G452" s="38">
        <f>G453+G458+G463</f>
        <v>0</v>
      </c>
      <c r="H452" s="75">
        <f>H453+H458+H463</f>
        <v>0</v>
      </c>
    </row>
    <row r="453" spans="1:8" ht="15.75" thickBot="1" x14ac:dyDescent="0.3">
      <c r="A453" s="333"/>
      <c r="B453" s="357"/>
      <c r="C453" s="35" t="s">
        <v>264</v>
      </c>
      <c r="D453" s="35"/>
      <c r="E453" s="35"/>
      <c r="F453" s="36" t="s">
        <v>11</v>
      </c>
      <c r="G453" s="49">
        <f>COUNTA(C454:C457)</f>
        <v>0</v>
      </c>
      <c r="H453" s="54">
        <f>SUM(H454:H457)</f>
        <v>0</v>
      </c>
    </row>
    <row r="454" spans="1:8" x14ac:dyDescent="0.25">
      <c r="A454" s="333"/>
      <c r="B454" s="358"/>
      <c r="C454" s="44"/>
      <c r="D454" s="44"/>
      <c r="E454" s="44"/>
      <c r="F454" s="44"/>
      <c r="G454" s="36"/>
      <c r="H454" s="56">
        <f>IF(F454=0,0,100/F454)</f>
        <v>0</v>
      </c>
    </row>
    <row r="455" spans="1:8" x14ac:dyDescent="0.25">
      <c r="A455" s="333"/>
      <c r="B455" s="358"/>
      <c r="C455" s="44"/>
      <c r="D455" s="44"/>
      <c r="E455" s="44"/>
      <c r="F455" s="44"/>
      <c r="G455" s="36"/>
      <c r="H455" s="56">
        <f>IF(F455=0,0,100/F455)</f>
        <v>0</v>
      </c>
    </row>
    <row r="456" spans="1:8" x14ac:dyDescent="0.25">
      <c r="A456" s="333"/>
      <c r="B456" s="358"/>
      <c r="C456" s="44"/>
      <c r="D456" s="44"/>
      <c r="E456" s="44"/>
      <c r="F456" s="44"/>
      <c r="G456" s="36"/>
      <c r="H456" s="56">
        <f>IF(F456=0,0,100/F456)</f>
        <v>0</v>
      </c>
    </row>
    <row r="457" spans="1:8" ht="15.75" thickBot="1" x14ac:dyDescent="0.3">
      <c r="A457" s="333"/>
      <c r="B457" s="358"/>
      <c r="C457" s="44"/>
      <c r="D457" s="44"/>
      <c r="E457" s="44"/>
      <c r="F457" s="44"/>
      <c r="G457" s="36"/>
      <c r="H457" s="56">
        <f>IF(F457=0,0,100/F457)</f>
        <v>0</v>
      </c>
    </row>
    <row r="458" spans="1:8" ht="15.75" thickBot="1" x14ac:dyDescent="0.3">
      <c r="A458" s="333"/>
      <c r="B458" s="358"/>
      <c r="C458" s="36" t="s">
        <v>263</v>
      </c>
      <c r="D458" s="36"/>
      <c r="E458" s="36"/>
      <c r="F458" s="36" t="s">
        <v>11</v>
      </c>
      <c r="G458" s="49">
        <f>COUNTA(C459:C462)</f>
        <v>0</v>
      </c>
      <c r="H458" s="54">
        <f>SUM(H459:H462)</f>
        <v>0</v>
      </c>
    </row>
    <row r="459" spans="1:8" x14ac:dyDescent="0.25">
      <c r="A459" s="333"/>
      <c r="B459" s="358"/>
      <c r="C459" s="44"/>
      <c r="D459" s="44"/>
      <c r="E459" s="44"/>
      <c r="F459" s="44"/>
      <c r="G459" s="36"/>
      <c r="H459" s="56">
        <f>IF(F459=0,0,200/F459)</f>
        <v>0</v>
      </c>
    </row>
    <row r="460" spans="1:8" x14ac:dyDescent="0.25">
      <c r="A460" s="333"/>
      <c r="B460" s="358"/>
      <c r="C460" s="44"/>
      <c r="D460" s="44"/>
      <c r="E460" s="44"/>
      <c r="F460" s="44"/>
      <c r="G460" s="36"/>
      <c r="H460" s="56">
        <f>IF(F460=0,0,200/F460)</f>
        <v>0</v>
      </c>
    </row>
    <row r="461" spans="1:8" x14ac:dyDescent="0.25">
      <c r="A461" s="333"/>
      <c r="B461" s="358"/>
      <c r="C461" s="44"/>
      <c r="D461" s="44"/>
      <c r="E461" s="44"/>
      <c r="F461" s="44"/>
      <c r="G461" s="36"/>
      <c r="H461" s="56">
        <f>IF(F461=0,0,200/F461)</f>
        <v>0</v>
      </c>
    </row>
    <row r="462" spans="1:8" ht="15.75" thickBot="1" x14ac:dyDescent="0.3">
      <c r="A462" s="333"/>
      <c r="B462" s="358"/>
      <c r="C462" s="44"/>
      <c r="D462" s="44"/>
      <c r="E462" s="44"/>
      <c r="F462" s="44"/>
      <c r="G462" s="36"/>
      <c r="H462" s="56">
        <f>IF(F462=0,0,200/F462)</f>
        <v>0</v>
      </c>
    </row>
    <row r="463" spans="1:8" ht="15.75" thickBot="1" x14ac:dyDescent="0.3">
      <c r="A463" s="333"/>
      <c r="B463" s="358"/>
      <c r="C463" s="36" t="s">
        <v>265</v>
      </c>
      <c r="D463" s="36"/>
      <c r="E463" s="36"/>
      <c r="F463" s="36" t="s">
        <v>11</v>
      </c>
      <c r="G463" s="49">
        <f>COUNTA(C464:C467)</f>
        <v>0</v>
      </c>
      <c r="H463" s="54">
        <f>SUM(H464:H467)</f>
        <v>0</v>
      </c>
    </row>
    <row r="464" spans="1:8" x14ac:dyDescent="0.25">
      <c r="A464" s="333"/>
      <c r="B464" s="358"/>
      <c r="C464" s="44"/>
      <c r="D464" s="44"/>
      <c r="E464" s="44"/>
      <c r="F464" s="44"/>
      <c r="G464" s="36"/>
      <c r="H464" s="56">
        <f>IF(F464=0,0,50/F464)</f>
        <v>0</v>
      </c>
    </row>
    <row r="465" spans="1:8" x14ac:dyDescent="0.25">
      <c r="A465" s="333"/>
      <c r="B465" s="359"/>
      <c r="C465" s="63"/>
      <c r="D465" s="63"/>
      <c r="E465" s="63"/>
      <c r="F465" s="63"/>
      <c r="G465" s="57"/>
      <c r="H465" s="56">
        <f>IF(F465=0,0,50/F465)</f>
        <v>0</v>
      </c>
    </row>
    <row r="466" spans="1:8" x14ac:dyDescent="0.25">
      <c r="A466" s="333"/>
      <c r="B466" s="359"/>
      <c r="C466" s="63"/>
      <c r="D466" s="63"/>
      <c r="E466" s="63"/>
      <c r="F466" s="63"/>
      <c r="G466" s="57"/>
      <c r="H466" s="56">
        <f>IF(F466=0,0,50/F466)</f>
        <v>0</v>
      </c>
    </row>
    <row r="467" spans="1:8" ht="15.75" thickBot="1" x14ac:dyDescent="0.3">
      <c r="A467" s="342"/>
      <c r="B467" s="359"/>
      <c r="C467" s="63"/>
      <c r="D467" s="63"/>
      <c r="E467" s="63"/>
      <c r="F467" s="63"/>
      <c r="G467" s="57"/>
      <c r="H467" s="56">
        <f>IF(F467=0,0,50/F467)</f>
        <v>0</v>
      </c>
    </row>
    <row r="468" spans="1:8" ht="15.75" thickBot="1" x14ac:dyDescent="0.3">
      <c r="A468" s="335" t="s">
        <v>65</v>
      </c>
      <c r="B468" s="37" t="s">
        <v>66</v>
      </c>
      <c r="C468" s="38"/>
      <c r="D468" s="38"/>
      <c r="E468" s="38"/>
      <c r="F468" s="38"/>
      <c r="G468" s="38">
        <f>G469+G477</f>
        <v>0</v>
      </c>
      <c r="H468" s="75">
        <f>H469+H477</f>
        <v>0</v>
      </c>
    </row>
    <row r="469" spans="1:8" ht="15.75" thickBot="1" x14ac:dyDescent="0.3">
      <c r="A469" s="333"/>
      <c r="B469" s="357"/>
      <c r="C469" s="35" t="s">
        <v>266</v>
      </c>
      <c r="D469" s="35"/>
      <c r="E469" s="35"/>
      <c r="F469" s="36" t="s">
        <v>11</v>
      </c>
      <c r="G469" s="49">
        <f>COUNTA(C470:C476)</f>
        <v>0</v>
      </c>
      <c r="H469" s="54">
        <f>SUM(H470:H476)</f>
        <v>0</v>
      </c>
    </row>
    <row r="470" spans="1:8" x14ac:dyDescent="0.25">
      <c r="A470" s="333"/>
      <c r="B470" s="358"/>
      <c r="C470" s="44"/>
      <c r="D470" s="44"/>
      <c r="E470" s="44"/>
      <c r="F470" s="44"/>
      <c r="G470" s="36"/>
      <c r="H470" s="56">
        <f t="shared" ref="H470:H476" si="39">IF(F470=0,0,100/F470)</f>
        <v>0</v>
      </c>
    </row>
    <row r="471" spans="1:8" x14ac:dyDescent="0.25">
      <c r="A471" s="333"/>
      <c r="B471" s="358"/>
      <c r="C471" s="44"/>
      <c r="D471" s="44"/>
      <c r="E471" s="44"/>
      <c r="F471" s="44"/>
      <c r="G471" s="36"/>
      <c r="H471" s="56">
        <f t="shared" si="39"/>
        <v>0</v>
      </c>
    </row>
    <row r="472" spans="1:8" x14ac:dyDescent="0.25">
      <c r="A472" s="333"/>
      <c r="B472" s="358"/>
      <c r="C472" s="44"/>
      <c r="D472" s="44"/>
      <c r="E472" s="44"/>
      <c r="F472" s="44"/>
      <c r="G472" s="36"/>
      <c r="H472" s="56">
        <f t="shared" si="39"/>
        <v>0</v>
      </c>
    </row>
    <row r="473" spans="1:8" x14ac:dyDescent="0.25">
      <c r="A473" s="333"/>
      <c r="B473" s="358"/>
      <c r="C473" s="44"/>
      <c r="D473" s="44"/>
      <c r="E473" s="44"/>
      <c r="F473" s="44"/>
      <c r="G473" s="36"/>
      <c r="H473" s="56">
        <f t="shared" si="39"/>
        <v>0</v>
      </c>
    </row>
    <row r="474" spans="1:8" x14ac:dyDescent="0.25">
      <c r="A474" s="333"/>
      <c r="B474" s="358"/>
      <c r="C474" s="44"/>
      <c r="D474" s="44"/>
      <c r="E474" s="44"/>
      <c r="F474" s="44"/>
      <c r="G474" s="36"/>
      <c r="H474" s="56">
        <f t="shared" si="39"/>
        <v>0</v>
      </c>
    </row>
    <row r="475" spans="1:8" x14ac:dyDescent="0.25">
      <c r="A475" s="333"/>
      <c r="B475" s="358"/>
      <c r="C475" s="44"/>
      <c r="D475" s="44"/>
      <c r="E475" s="44"/>
      <c r="F475" s="44"/>
      <c r="G475" s="36"/>
      <c r="H475" s="56">
        <f t="shared" si="39"/>
        <v>0</v>
      </c>
    </row>
    <row r="476" spans="1:8" ht="15.75" thickBot="1" x14ac:dyDescent="0.3">
      <c r="A476" s="333"/>
      <c r="B476" s="358"/>
      <c r="C476" s="44"/>
      <c r="D476" s="44"/>
      <c r="E476" s="44"/>
      <c r="F476" s="44"/>
      <c r="G476" s="36"/>
      <c r="H476" s="56">
        <f t="shared" si="39"/>
        <v>0</v>
      </c>
    </row>
    <row r="477" spans="1:8" ht="15.75" thickBot="1" x14ac:dyDescent="0.3">
      <c r="A477" s="333"/>
      <c r="B477" s="358"/>
      <c r="C477" s="36" t="s">
        <v>267</v>
      </c>
      <c r="D477" s="36"/>
      <c r="E477" s="36"/>
      <c r="F477" s="36" t="s">
        <v>11</v>
      </c>
      <c r="G477" s="49">
        <f>COUNTA(C478:C481)</f>
        <v>0</v>
      </c>
      <c r="H477" s="54">
        <f>SUM(H478:H481)</f>
        <v>0</v>
      </c>
    </row>
    <row r="478" spans="1:8" x14ac:dyDescent="0.25">
      <c r="A478" s="333"/>
      <c r="B478" s="358"/>
      <c r="C478" s="44"/>
      <c r="D478" s="44"/>
      <c r="E478" s="44"/>
      <c r="F478" s="44"/>
      <c r="G478" s="36"/>
      <c r="H478" s="56">
        <f>IF(F478=0,0,200/F478)</f>
        <v>0</v>
      </c>
    </row>
    <row r="479" spans="1:8" x14ac:dyDescent="0.25">
      <c r="A479" s="333"/>
      <c r="B479" s="359"/>
      <c r="C479" s="63"/>
      <c r="D479" s="63"/>
      <c r="E479" s="63"/>
      <c r="F479" s="63"/>
      <c r="G479" s="57"/>
      <c r="H479" s="56">
        <f>IF(F479=0,0,200/F479)</f>
        <v>0</v>
      </c>
    </row>
    <row r="480" spans="1:8" x14ac:dyDescent="0.25">
      <c r="A480" s="333"/>
      <c r="B480" s="359"/>
      <c r="C480" s="63"/>
      <c r="D480" s="63"/>
      <c r="E480" s="63"/>
      <c r="F480" s="63"/>
      <c r="G480" s="57"/>
      <c r="H480" s="56">
        <f>IF(F480=0,0,200/F480)</f>
        <v>0</v>
      </c>
    </row>
    <row r="481" spans="1:8" ht="15.75" thickBot="1" x14ac:dyDescent="0.3">
      <c r="A481" s="342"/>
      <c r="B481" s="359"/>
      <c r="C481" s="63"/>
      <c r="D481" s="63"/>
      <c r="E481" s="63"/>
      <c r="F481" s="63"/>
      <c r="G481" s="57"/>
      <c r="H481" s="56">
        <f>IF(F481=0,0,200/F481)</f>
        <v>0</v>
      </c>
    </row>
    <row r="482" spans="1:8" ht="15.75" thickBot="1" x14ac:dyDescent="0.3">
      <c r="A482" s="335" t="s">
        <v>68</v>
      </c>
      <c r="B482" s="37" t="s">
        <v>69</v>
      </c>
      <c r="C482" s="38"/>
      <c r="D482" s="38"/>
      <c r="E482" s="38"/>
      <c r="F482" s="38"/>
      <c r="G482" s="38">
        <f>G484+G489</f>
        <v>0</v>
      </c>
      <c r="H482" s="75">
        <f>H483</f>
        <v>0</v>
      </c>
    </row>
    <row r="483" spans="1:8" ht="15.75" thickBot="1" x14ac:dyDescent="0.3">
      <c r="A483" s="333"/>
      <c r="B483" s="358"/>
      <c r="C483" s="36" t="s">
        <v>123</v>
      </c>
      <c r="D483" s="36"/>
      <c r="E483" s="36"/>
      <c r="F483" s="36"/>
      <c r="G483" s="49">
        <f>G484+G489</f>
        <v>0</v>
      </c>
      <c r="H483" s="232">
        <f>H484+H489</f>
        <v>0</v>
      </c>
    </row>
    <row r="484" spans="1:8" ht="15.75" thickBot="1" x14ac:dyDescent="0.3">
      <c r="A484" s="333"/>
      <c r="B484" s="358"/>
      <c r="C484" s="36" t="s">
        <v>282</v>
      </c>
      <c r="D484" s="36"/>
      <c r="E484" s="36"/>
      <c r="F484" s="36" t="s">
        <v>11</v>
      </c>
      <c r="G484" s="49">
        <f>COUNTA(C485:C488)</f>
        <v>0</v>
      </c>
      <c r="H484" s="54">
        <f>SUM(H485:H488)</f>
        <v>0</v>
      </c>
    </row>
    <row r="485" spans="1:8" x14ac:dyDescent="0.25">
      <c r="A485" s="333"/>
      <c r="B485" s="358"/>
      <c r="C485" s="44"/>
      <c r="D485" s="44"/>
      <c r="E485" s="44"/>
      <c r="F485" s="44"/>
      <c r="G485" s="36"/>
      <c r="H485" s="56">
        <f>IF(F485=0,0,200/F485)</f>
        <v>0</v>
      </c>
    </row>
    <row r="486" spans="1:8" x14ac:dyDescent="0.25">
      <c r="A486" s="333"/>
      <c r="B486" s="358"/>
      <c r="C486" s="44"/>
      <c r="D486" s="44"/>
      <c r="E486" s="44"/>
      <c r="F486" s="44"/>
      <c r="G486" s="36"/>
      <c r="H486" s="56">
        <f>IF(F486=0,0,200/F486)</f>
        <v>0</v>
      </c>
    </row>
    <row r="487" spans="1:8" x14ac:dyDescent="0.25">
      <c r="A487" s="333"/>
      <c r="B487" s="358"/>
      <c r="C487" s="44"/>
      <c r="D487" s="44"/>
      <c r="E487" s="44"/>
      <c r="F487" s="44"/>
      <c r="G487" s="36"/>
      <c r="H487" s="56">
        <f>IF(F487=0,0,200/F487)</f>
        <v>0</v>
      </c>
    </row>
    <row r="488" spans="1:8" ht="15.75" thickBot="1" x14ac:dyDescent="0.3">
      <c r="A488" s="333"/>
      <c r="B488" s="358"/>
      <c r="C488" s="44"/>
      <c r="D488" s="44"/>
      <c r="E488" s="44"/>
      <c r="F488" s="44"/>
      <c r="G488" s="36"/>
      <c r="H488" s="56">
        <f>IF(F488=0,0,200/F488)</f>
        <v>0</v>
      </c>
    </row>
    <row r="489" spans="1:8" ht="15.75" thickBot="1" x14ac:dyDescent="0.3">
      <c r="A489" s="333"/>
      <c r="B489" s="358"/>
      <c r="C489" s="36" t="s">
        <v>283</v>
      </c>
      <c r="D489" s="36"/>
      <c r="E489" s="36"/>
      <c r="F489" s="36" t="s">
        <v>11</v>
      </c>
      <c r="G489" s="49">
        <f>COUNTA(C490:C493)</f>
        <v>0</v>
      </c>
      <c r="H489" s="54">
        <f>SUM(H490:H493)</f>
        <v>0</v>
      </c>
    </row>
    <row r="490" spans="1:8" x14ac:dyDescent="0.25">
      <c r="A490" s="333"/>
      <c r="B490" s="358"/>
      <c r="C490" s="44"/>
      <c r="D490" s="44"/>
      <c r="E490" s="44"/>
      <c r="F490" s="44"/>
      <c r="G490" s="36"/>
      <c r="H490" s="56">
        <f>IF(F490=0,0,300/F490)</f>
        <v>0</v>
      </c>
    </row>
    <row r="491" spans="1:8" x14ac:dyDescent="0.25">
      <c r="A491" s="333"/>
      <c r="B491" s="359"/>
      <c r="C491" s="63"/>
      <c r="D491" s="63"/>
      <c r="E491" s="63"/>
      <c r="F491" s="63"/>
      <c r="G491" s="57"/>
      <c r="H491" s="56">
        <f>IF(F491=0,0,300/F491)</f>
        <v>0</v>
      </c>
    </row>
    <row r="492" spans="1:8" x14ac:dyDescent="0.25">
      <c r="A492" s="333"/>
      <c r="B492" s="359"/>
      <c r="C492" s="63"/>
      <c r="D492" s="63"/>
      <c r="E492" s="63"/>
      <c r="F492" s="63"/>
      <c r="G492" s="57"/>
      <c r="H492" s="56">
        <f>IF(F492=0,0,300/F492)</f>
        <v>0</v>
      </c>
    </row>
    <row r="493" spans="1:8" ht="15.75" thickBot="1" x14ac:dyDescent="0.3">
      <c r="A493" s="334"/>
      <c r="B493" s="373"/>
      <c r="C493" s="233"/>
      <c r="D493" s="233"/>
      <c r="E493" s="233"/>
      <c r="F493" s="233"/>
      <c r="G493" s="68"/>
      <c r="H493" s="234">
        <f>IF(F493=0,0,300/F493)</f>
        <v>0</v>
      </c>
    </row>
    <row r="494" spans="1:8" x14ac:dyDescent="0.25">
      <c r="B494" s="235"/>
    </row>
  </sheetData>
  <sheetProtection password="CE9C" sheet="1" objects="1" scenarios="1" formatCells="0" formatColumns="0" formatRows="0" insertRows="0"/>
  <mergeCells count="45">
    <mergeCell ref="A99:A151"/>
    <mergeCell ref="B100:B151"/>
    <mergeCell ref="A55:A56"/>
    <mergeCell ref="A57:C57"/>
    <mergeCell ref="A74:A98"/>
    <mergeCell ref="B75:B98"/>
    <mergeCell ref="A64:C64"/>
    <mergeCell ref="A65:A72"/>
    <mergeCell ref="B65:B72"/>
    <mergeCell ref="A468:A481"/>
    <mergeCell ref="B469:B481"/>
    <mergeCell ref="A482:A493"/>
    <mergeCell ref="B483:B493"/>
    <mergeCell ref="A420:A451"/>
    <mergeCell ref="A452:A467"/>
    <mergeCell ref="B453:B467"/>
    <mergeCell ref="B421:B423"/>
    <mergeCell ref="B424:B426"/>
    <mergeCell ref="B433:B435"/>
    <mergeCell ref="B436:B439"/>
    <mergeCell ref="B443:B445"/>
    <mergeCell ref="B446:B448"/>
    <mergeCell ref="B449:B451"/>
    <mergeCell ref="B427:B429"/>
    <mergeCell ref="B430:B432"/>
    <mergeCell ref="A6:B6"/>
    <mergeCell ref="A8:F8"/>
    <mergeCell ref="B55:B56"/>
    <mergeCell ref="A54:C54"/>
    <mergeCell ref="A9:H9"/>
    <mergeCell ref="A10:A53"/>
    <mergeCell ref="B11:B53"/>
    <mergeCell ref="A419:E419"/>
    <mergeCell ref="B440:B442"/>
    <mergeCell ref="B292:B321"/>
    <mergeCell ref="A152:A352"/>
    <mergeCell ref="B153:B183"/>
    <mergeCell ref="B185:B212"/>
    <mergeCell ref="B213:B243"/>
    <mergeCell ref="B244:B291"/>
    <mergeCell ref="B322:B352"/>
    <mergeCell ref="B354:B388"/>
    <mergeCell ref="A389:A418"/>
    <mergeCell ref="B390:B418"/>
    <mergeCell ref="A353:A388"/>
  </mergeCells>
  <conditionalFormatting sqref="K247:K270">
    <cfRule type="containsText" dxfId="11" priority="7" stopIfTrue="1" operator="containsText" text="Revista cu punctaj sub 1">
      <formula>NOT(ISERROR(SEARCH("Revista cu punctaj sub 1",K247)))</formula>
    </cfRule>
    <cfRule type="containsText" dxfId="10" priority="8" stopIfTrue="1" operator="containsText" text="OK">
      <formula>NOT(ISERROR(SEARCH("OK",K247)))</formula>
    </cfRule>
  </conditionalFormatting>
  <conditionalFormatting sqref="K216:K233">
    <cfRule type="containsText" dxfId="9" priority="5" stopIfTrue="1" operator="containsText" text="Revista cu punctaj peste 1">
      <formula>NOT(ISERROR(SEARCH("Revista cu punctaj peste 1",K216)))</formula>
    </cfRule>
    <cfRule type="containsText" dxfId="8" priority="6" stopIfTrue="1" operator="containsText" text="OK">
      <formula>NOT(ISERROR(SEARCH("OK",K216)))</formula>
    </cfRule>
  </conditionalFormatting>
  <pageMargins left="0.31496062992125984" right="0.31496062992125984" top="0.35433070866141736" bottom="0.35433070866141736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60"/>
  <sheetViews>
    <sheetView workbookViewId="0">
      <selection activeCell="H5" sqref="H5"/>
    </sheetView>
  </sheetViews>
  <sheetFormatPr defaultRowHeight="15" x14ac:dyDescent="0.25"/>
  <cols>
    <col min="1" max="1" width="2.42578125" style="51" customWidth="1"/>
    <col min="2" max="2" width="64.28515625" style="51" customWidth="1"/>
    <col min="3" max="3" width="11.140625" style="51" customWidth="1"/>
    <col min="4" max="4" width="7.5703125" style="51" customWidth="1"/>
    <col min="5" max="5" width="8.42578125" style="51" bestFit="1" customWidth="1"/>
    <col min="6" max="6" width="10.140625" style="204" customWidth="1"/>
    <col min="7" max="7" width="9.140625" style="51"/>
    <col min="8" max="8" width="18.85546875" style="51" bestFit="1" customWidth="1"/>
    <col min="9" max="9" width="23.5703125" style="51" bestFit="1" customWidth="1"/>
    <col min="10" max="16384" width="9.140625" style="51"/>
  </cols>
  <sheetData>
    <row r="1" spans="2:8" ht="15.75" x14ac:dyDescent="0.25">
      <c r="B1" s="279" t="s">
        <v>0</v>
      </c>
      <c r="C1" s="197"/>
      <c r="F1" s="199"/>
    </row>
    <row r="2" spans="2:8" ht="15.75" x14ac:dyDescent="0.25">
      <c r="C2" s="382" t="s">
        <v>378</v>
      </c>
      <c r="D2" s="382"/>
      <c r="E2" s="382">
        <f>'fisa word'!G2</f>
        <v>0</v>
      </c>
      <c r="F2" s="382"/>
    </row>
    <row r="3" spans="2:8" ht="15.75" x14ac:dyDescent="0.25">
      <c r="C3" s="382" t="s">
        <v>377</v>
      </c>
      <c r="D3" s="382"/>
      <c r="E3" s="382">
        <f>'fisa word'!G3</f>
        <v>0</v>
      </c>
      <c r="F3" s="382"/>
    </row>
    <row r="4" spans="2:8" ht="18.75" x14ac:dyDescent="0.25">
      <c r="B4" s="196">
        <f>'fisa word'!G4</f>
        <v>0</v>
      </c>
      <c r="D4" s="197"/>
      <c r="E4" s="236"/>
      <c r="F4" s="199"/>
    </row>
    <row r="5" spans="2:8" ht="19.5" thickBot="1" x14ac:dyDescent="0.3">
      <c r="B5" s="196">
        <f>'fisa word'!G5</f>
        <v>0</v>
      </c>
      <c r="E5" s="236"/>
      <c r="F5" s="199"/>
    </row>
    <row r="6" spans="2:8" ht="15.75" thickBot="1" x14ac:dyDescent="0.3">
      <c r="B6" s="237" t="s">
        <v>1</v>
      </c>
      <c r="C6" s="238">
        <f>'fisa word'!B9</f>
        <v>5</v>
      </c>
      <c r="D6" s="239" t="s">
        <v>2</v>
      </c>
    </row>
    <row r="7" spans="2:8" x14ac:dyDescent="0.25">
      <c r="B7" s="197"/>
      <c r="C7" s="197"/>
      <c r="D7" s="197"/>
      <c r="E7" s="197"/>
      <c r="F7" s="199"/>
    </row>
    <row r="8" spans="2:8" ht="32.25" thickBot="1" x14ac:dyDescent="0.3">
      <c r="B8" s="240" t="s">
        <v>124</v>
      </c>
      <c r="C8" s="241"/>
      <c r="D8" s="201" t="s">
        <v>11</v>
      </c>
      <c r="E8" s="240" t="s">
        <v>9</v>
      </c>
      <c r="F8" s="242" t="s">
        <v>12</v>
      </c>
    </row>
    <row r="9" spans="2:8" ht="19.5" thickBot="1" x14ac:dyDescent="0.35">
      <c r="B9" s="88" t="s">
        <v>186</v>
      </c>
      <c r="C9" s="243"/>
      <c r="D9" s="243"/>
      <c r="E9" s="38"/>
      <c r="F9" s="95">
        <f>20*(F10+F23+F36+F49+F77+F81+F176+F157)/100</f>
        <v>0</v>
      </c>
    </row>
    <row r="10" spans="2:8" ht="15.75" customHeight="1" thickBot="1" x14ac:dyDescent="0.3">
      <c r="B10" s="89" t="s">
        <v>70</v>
      </c>
      <c r="C10" s="43" t="s">
        <v>268</v>
      </c>
      <c r="D10" s="64"/>
      <c r="E10" s="38">
        <f>E11+E15+E19</f>
        <v>0</v>
      </c>
      <c r="F10" s="75">
        <f>F11+F15+F19</f>
        <v>0</v>
      </c>
    </row>
    <row r="11" spans="2:8" ht="15.75" thickBot="1" x14ac:dyDescent="0.3">
      <c r="B11" s="192" t="s">
        <v>269</v>
      </c>
      <c r="C11" s="35" t="s">
        <v>86</v>
      </c>
      <c r="D11" s="244"/>
      <c r="E11" s="49">
        <f>COUNTA(B12:B14)</f>
        <v>0</v>
      </c>
      <c r="F11" s="54">
        <f>SUM(F12:F14)</f>
        <v>0</v>
      </c>
      <c r="H11" s="227" t="s">
        <v>147</v>
      </c>
    </row>
    <row r="12" spans="2:8" x14ac:dyDescent="0.25">
      <c r="B12" s="44"/>
      <c r="C12" s="44"/>
      <c r="D12" s="245"/>
      <c r="E12" s="36"/>
      <c r="F12" s="56">
        <f>IF(B12=0,0,150*C12)</f>
        <v>0</v>
      </c>
      <c r="H12" s="227">
        <f>IF(C12=0,0,IF(AND(C12&gt;0,C12&lt;=5),"OK","trebuie maxim 5 ani"))</f>
        <v>0</v>
      </c>
    </row>
    <row r="13" spans="2:8" x14ac:dyDescent="0.25">
      <c r="B13" s="44"/>
      <c r="C13" s="44"/>
      <c r="D13" s="245"/>
      <c r="E13" s="36"/>
      <c r="F13" s="56">
        <f>IF(B13=0,0,150*C13)</f>
        <v>0</v>
      </c>
      <c r="H13" s="227">
        <f>IF(C13=0,0,IF(AND(C13&gt;0,C13&lt;=5),"OK","trebuie maxim 5 ani"))</f>
        <v>0</v>
      </c>
    </row>
    <row r="14" spans="2:8" ht="15.75" thickBot="1" x14ac:dyDescent="0.3">
      <c r="B14" s="44"/>
      <c r="C14" s="44"/>
      <c r="D14" s="245"/>
      <c r="E14" s="36"/>
      <c r="F14" s="56">
        <f>IF(B14=0,0,150*C14)</f>
        <v>0</v>
      </c>
      <c r="H14" s="227">
        <f>IF(C14=0,0,IF(AND(C14&gt;0,C14&lt;=5),"OK","trebuie maxim 5 ani"))</f>
        <v>0</v>
      </c>
    </row>
    <row r="15" spans="2:8" ht="16.5" thickBot="1" x14ac:dyDescent="0.3">
      <c r="B15" s="188" t="s">
        <v>366</v>
      </c>
      <c r="C15" s="36" t="s">
        <v>86</v>
      </c>
      <c r="D15" s="245"/>
      <c r="E15" s="49">
        <f>COUNTA(B16:B18)</f>
        <v>0</v>
      </c>
      <c r="F15" s="54">
        <f>SUM(F16:F18)</f>
        <v>0</v>
      </c>
      <c r="H15" s="246"/>
    </row>
    <row r="16" spans="2:8" x14ac:dyDescent="0.25">
      <c r="B16" s="44"/>
      <c r="C16" s="44"/>
      <c r="D16" s="245"/>
      <c r="E16" s="36"/>
      <c r="F16" s="56">
        <f>IF(B16=0,0,80*C16)</f>
        <v>0</v>
      </c>
      <c r="H16" s="227">
        <f>IF(C16=0,0,IF(AND(C16&gt;0,C16&lt;=5),"OK","trebuie maxim 5 ani"))</f>
        <v>0</v>
      </c>
    </row>
    <row r="17" spans="2:9" x14ac:dyDescent="0.25">
      <c r="B17" s="44"/>
      <c r="C17" s="44"/>
      <c r="D17" s="245"/>
      <c r="E17" s="36"/>
      <c r="F17" s="56">
        <f>IF(B17=0,0,80*C17)</f>
        <v>0</v>
      </c>
      <c r="H17" s="227">
        <f>IF(C17=0,0,IF(AND(C17&gt;0,C17&lt;=5),"OK","trebuie maxim 5 ani"))</f>
        <v>0</v>
      </c>
    </row>
    <row r="18" spans="2:9" ht="15.75" thickBot="1" x14ac:dyDescent="0.3">
      <c r="B18" s="44"/>
      <c r="C18" s="44"/>
      <c r="D18" s="245"/>
      <c r="E18" s="36"/>
      <c r="F18" s="56">
        <f>IF(B18=0,0,80*C18)</f>
        <v>0</v>
      </c>
      <c r="H18" s="227">
        <f>IF(C18=0,0,IF(AND(C18&gt;0,C18&lt;=5),"OK","trebuie maxim 5 ani"))</f>
        <v>0</v>
      </c>
    </row>
    <row r="19" spans="2:9" ht="30.75" thickBot="1" x14ac:dyDescent="0.3">
      <c r="B19" s="247" t="s">
        <v>367</v>
      </c>
      <c r="C19" s="36" t="s">
        <v>86</v>
      </c>
      <c r="D19" s="245"/>
      <c r="E19" s="49">
        <f>COUNTA(B20:B22)</f>
        <v>0</v>
      </c>
      <c r="F19" s="54">
        <f>SUM(F20:F22)</f>
        <v>0</v>
      </c>
      <c r="H19" s="246"/>
    </row>
    <row r="20" spans="2:9" x14ac:dyDescent="0.25">
      <c r="B20" s="44"/>
      <c r="C20" s="44"/>
      <c r="D20" s="245"/>
      <c r="E20" s="36"/>
      <c r="F20" s="56">
        <f>IF(B20=0,0,100*C20)</f>
        <v>0</v>
      </c>
      <c r="H20" s="227">
        <f>IF(C20=0,0,IF(AND(C20&gt;0,C20&lt;=5),"OK","trebuie maxim 5 ani"))</f>
        <v>0</v>
      </c>
    </row>
    <row r="21" spans="2:9" x14ac:dyDescent="0.25">
      <c r="B21" s="44"/>
      <c r="C21" s="44"/>
      <c r="D21" s="248"/>
      <c r="E21" s="57"/>
      <c r="F21" s="56">
        <f>IF(B21=0,0,100*C21)</f>
        <v>0</v>
      </c>
      <c r="H21" s="227">
        <f>IF(C21=0,0,IF(AND(C21&gt;0,C21&lt;=5),"OK","trebuie maxim 5 ani"))</f>
        <v>0</v>
      </c>
    </row>
    <row r="22" spans="2:9" ht="15.75" thickBot="1" x14ac:dyDescent="0.3">
      <c r="B22" s="63"/>
      <c r="C22" s="63"/>
      <c r="D22" s="248"/>
      <c r="E22" s="57"/>
      <c r="F22" s="56">
        <f>IF(B22=0,0,100*C22)</f>
        <v>0</v>
      </c>
      <c r="H22" s="227">
        <f>IF(C22=0,0,IF(AND(C22&gt;0,C22&lt;=5),"OK","trebuie maxim 5 ani"))</f>
        <v>0</v>
      </c>
    </row>
    <row r="23" spans="2:9" ht="48" thickBot="1" x14ac:dyDescent="0.3">
      <c r="B23" s="92" t="s">
        <v>270</v>
      </c>
      <c r="C23" s="93" t="s">
        <v>268</v>
      </c>
      <c r="D23" s="90"/>
      <c r="E23" s="38">
        <f>E24+E30</f>
        <v>0</v>
      </c>
      <c r="F23" s="87">
        <f>F24+F30</f>
        <v>0</v>
      </c>
      <c r="H23" s="246"/>
    </row>
    <row r="24" spans="2:9" ht="17.25" customHeight="1" thickBot="1" x14ac:dyDescent="0.3">
      <c r="B24" s="192" t="s">
        <v>368</v>
      </c>
      <c r="C24" s="35" t="s">
        <v>86</v>
      </c>
      <c r="D24" s="244"/>
      <c r="E24" s="49">
        <f>COUNTA(B25:B29)</f>
        <v>0</v>
      </c>
      <c r="F24" s="54">
        <f>SUM(F25:F29)</f>
        <v>0</v>
      </c>
      <c r="H24" s="246"/>
    </row>
    <row r="25" spans="2:9" ht="15.75" x14ac:dyDescent="0.25">
      <c r="B25" s="44"/>
      <c r="C25" s="44"/>
      <c r="D25" s="245"/>
      <c r="E25" s="36"/>
      <c r="F25" s="56">
        <f>IF(B25=0,0,10*C25)</f>
        <v>0</v>
      </c>
      <c r="H25" s="227">
        <f>IF(C25=0,0,IF(AND(C25&gt;0,C25&lt;=5),"OK","trebuie maxim 5 ani"))</f>
        <v>0</v>
      </c>
      <c r="I25" s="91"/>
    </row>
    <row r="26" spans="2:9" x14ac:dyDescent="0.25">
      <c r="B26" s="44"/>
      <c r="C26" s="44"/>
      <c r="D26" s="245"/>
      <c r="E26" s="36"/>
      <c r="F26" s="56">
        <f>IF(B26=0,0,10*C26)</f>
        <v>0</v>
      </c>
      <c r="H26" s="227">
        <f>IF(C26=0,0,IF(AND(C26&gt;0,C26&lt;=5),"OK","trebuie maxim 5 ani"))</f>
        <v>0</v>
      </c>
    </row>
    <row r="27" spans="2:9" x14ac:dyDescent="0.25">
      <c r="B27" s="44"/>
      <c r="C27" s="44"/>
      <c r="D27" s="245"/>
      <c r="E27" s="36"/>
      <c r="F27" s="56">
        <f>IF(B27=0,0,10*C27)</f>
        <v>0</v>
      </c>
      <c r="H27" s="227">
        <f>IF(C27=0,0,IF(AND(C27&gt;0,C27&lt;=5),"OK","trebuie maxim 5 ani"))</f>
        <v>0</v>
      </c>
    </row>
    <row r="28" spans="2:9" x14ac:dyDescent="0.25">
      <c r="B28" s="44"/>
      <c r="C28" s="44"/>
      <c r="D28" s="245"/>
      <c r="E28" s="36"/>
      <c r="F28" s="56">
        <f>IF(B28=0,0,10*C28)</f>
        <v>0</v>
      </c>
      <c r="H28" s="227">
        <f>IF(C28=0,0,IF(AND(C28&gt;0,C28&lt;=5),"OK","trebuie maxim 5 ani"))</f>
        <v>0</v>
      </c>
    </row>
    <row r="29" spans="2:9" ht="15.75" thickBot="1" x14ac:dyDescent="0.3">
      <c r="B29" s="44"/>
      <c r="C29" s="44"/>
      <c r="D29" s="245"/>
      <c r="E29" s="36"/>
      <c r="F29" s="56">
        <f>IF(B29=0,0,10*C29)</f>
        <v>0</v>
      </c>
      <c r="H29" s="227">
        <f>IF(C29=0,0,IF(AND(C29&gt;0,C29&lt;=5),"OK","trebuie maxim 5 ani"))</f>
        <v>0</v>
      </c>
    </row>
    <row r="30" spans="2:9" ht="15.75" thickBot="1" x14ac:dyDescent="0.3">
      <c r="B30" s="188" t="s">
        <v>369</v>
      </c>
      <c r="C30" s="36" t="s">
        <v>86</v>
      </c>
      <c r="D30" s="245"/>
      <c r="E30" s="58">
        <f>COUNTA(B31:B35)</f>
        <v>0</v>
      </c>
      <c r="F30" s="54">
        <f>SUM(F31:F35)</f>
        <v>0</v>
      </c>
      <c r="H30" s="227"/>
    </row>
    <row r="31" spans="2:9" x14ac:dyDescent="0.25">
      <c r="B31" s="44"/>
      <c r="C31" s="44"/>
      <c r="D31" s="245"/>
      <c r="E31" s="36"/>
      <c r="F31" s="56">
        <f>IF(B31=0,0,20*C31)</f>
        <v>0</v>
      </c>
      <c r="H31" s="227">
        <f>IF(C31=0,0,IF(AND(C31&gt;0,C31&lt;=5),"OK","trebuie maxim 5 ani"))</f>
        <v>0</v>
      </c>
    </row>
    <row r="32" spans="2:9" x14ac:dyDescent="0.25">
      <c r="B32" s="44"/>
      <c r="C32" s="44"/>
      <c r="D32" s="248"/>
      <c r="E32" s="57"/>
      <c r="F32" s="56">
        <f>IF(B32=0,0,20*C32)</f>
        <v>0</v>
      </c>
      <c r="H32" s="227">
        <f>IF(C32=0,0,IF(AND(C32&gt;0,C32&lt;=5),"OK","trebuie maxim 5 ani"))</f>
        <v>0</v>
      </c>
    </row>
    <row r="33" spans="2:8" x14ac:dyDescent="0.25">
      <c r="B33" s="44"/>
      <c r="C33" s="44"/>
      <c r="D33" s="248"/>
      <c r="E33" s="57"/>
      <c r="F33" s="56">
        <f>IF(B33=0,0,20*C33)</f>
        <v>0</v>
      </c>
      <c r="H33" s="227">
        <f>IF(C33=0,0,IF(AND(C33&gt;0,C33&lt;=5),"OK","trebuie maxim 5 ani"))</f>
        <v>0</v>
      </c>
    </row>
    <row r="34" spans="2:8" x14ac:dyDescent="0.25">
      <c r="B34" s="44"/>
      <c r="C34" s="44"/>
      <c r="D34" s="248"/>
      <c r="E34" s="57"/>
      <c r="F34" s="56">
        <f>IF(B34=0,0,20*C34)</f>
        <v>0</v>
      </c>
      <c r="H34" s="227">
        <f>IF(C34=0,0,IF(AND(C34&gt;0,C34&lt;=5),"OK","trebuie maxim 5 ani"))</f>
        <v>0</v>
      </c>
    </row>
    <row r="35" spans="2:8" ht="15.75" thickBot="1" x14ac:dyDescent="0.3">
      <c r="B35" s="63"/>
      <c r="C35" s="63"/>
      <c r="D35" s="248"/>
      <c r="E35" s="57"/>
      <c r="F35" s="56">
        <f>IF(B35=0,0,20*C35)</f>
        <v>0</v>
      </c>
      <c r="H35" s="227">
        <f>IF(C35=0,0,IF(AND(C35&gt;0,C35&lt;=5),"OK","trebuie maxim 5 ani"))</f>
        <v>0</v>
      </c>
    </row>
    <row r="36" spans="2:8" ht="32.25" thickBot="1" x14ac:dyDescent="0.3">
      <c r="B36" s="94" t="s">
        <v>271</v>
      </c>
      <c r="C36" s="93" t="s">
        <v>268</v>
      </c>
      <c r="D36" s="89"/>
      <c r="E36" s="38">
        <f>E37+E43</f>
        <v>0</v>
      </c>
      <c r="F36" s="87">
        <f>F37+F43</f>
        <v>0</v>
      </c>
    </row>
    <row r="37" spans="2:8" ht="15.75" thickBot="1" x14ac:dyDescent="0.3">
      <c r="B37" s="192" t="s">
        <v>370</v>
      </c>
      <c r="C37" s="35"/>
      <c r="D37" s="244"/>
      <c r="E37" s="49">
        <f>COUNTA(B38:B42)</f>
        <v>0</v>
      </c>
      <c r="F37" s="54">
        <f>SUM(F38:F42)</f>
        <v>0</v>
      </c>
    </row>
    <row r="38" spans="2:8" x14ac:dyDescent="0.25">
      <c r="B38" s="44"/>
      <c r="C38" s="36"/>
      <c r="D38" s="245"/>
      <c r="E38" s="36"/>
      <c r="F38" s="56">
        <f>IF(B38=0,0,25)</f>
        <v>0</v>
      </c>
    </row>
    <row r="39" spans="2:8" x14ac:dyDescent="0.25">
      <c r="B39" s="44"/>
      <c r="C39" s="36"/>
      <c r="D39" s="245"/>
      <c r="E39" s="36"/>
      <c r="F39" s="56">
        <f>IF(B39=0,0,25)</f>
        <v>0</v>
      </c>
    </row>
    <row r="40" spans="2:8" x14ac:dyDescent="0.25">
      <c r="B40" s="44"/>
      <c r="C40" s="36"/>
      <c r="D40" s="245"/>
      <c r="E40" s="36"/>
      <c r="F40" s="56">
        <f>IF(B40=0,0,25)</f>
        <v>0</v>
      </c>
    </row>
    <row r="41" spans="2:8" x14ac:dyDescent="0.25">
      <c r="B41" s="44"/>
      <c r="C41" s="36"/>
      <c r="D41" s="245"/>
      <c r="E41" s="36"/>
      <c r="F41" s="56">
        <f>IF(B41=0,0,25)</f>
        <v>0</v>
      </c>
    </row>
    <row r="42" spans="2:8" ht="15.75" thickBot="1" x14ac:dyDescent="0.3">
      <c r="B42" s="44"/>
      <c r="C42" s="36"/>
      <c r="D42" s="245"/>
      <c r="E42" s="36"/>
      <c r="F42" s="56">
        <f>IF(B42=0,0,25)</f>
        <v>0</v>
      </c>
    </row>
    <row r="43" spans="2:8" ht="15.75" thickBot="1" x14ac:dyDescent="0.3">
      <c r="B43" s="188" t="s">
        <v>371</v>
      </c>
      <c r="C43" s="36"/>
      <c r="D43" s="245"/>
      <c r="E43" s="58">
        <f>COUNTA(B44:B48)</f>
        <v>0</v>
      </c>
      <c r="F43" s="54">
        <f>SUM(F44:F48)</f>
        <v>0</v>
      </c>
    </row>
    <row r="44" spans="2:8" x14ac:dyDescent="0.25">
      <c r="B44" s="44"/>
      <c r="C44" s="36"/>
      <c r="D44" s="245"/>
      <c r="E44" s="36"/>
      <c r="F44" s="56">
        <f>IF(B44=0,0,50)</f>
        <v>0</v>
      </c>
    </row>
    <row r="45" spans="2:8" x14ac:dyDescent="0.25">
      <c r="B45" s="44"/>
      <c r="C45" s="36"/>
      <c r="D45" s="248"/>
      <c r="E45" s="57"/>
      <c r="F45" s="56">
        <f>IF(B45=0,0,50)</f>
        <v>0</v>
      </c>
    </row>
    <row r="46" spans="2:8" x14ac:dyDescent="0.25">
      <c r="B46" s="44"/>
      <c r="C46" s="36"/>
      <c r="D46" s="248"/>
      <c r="E46" s="57"/>
      <c r="F46" s="56">
        <f>IF(B46=0,0,50)</f>
        <v>0</v>
      </c>
    </row>
    <row r="47" spans="2:8" x14ac:dyDescent="0.25">
      <c r="B47" s="44"/>
      <c r="C47" s="36"/>
      <c r="D47" s="248"/>
      <c r="E47" s="57"/>
      <c r="F47" s="56">
        <f>IF(B47=0,0,50)</f>
        <v>0</v>
      </c>
    </row>
    <row r="48" spans="2:8" ht="15.75" thickBot="1" x14ac:dyDescent="0.3">
      <c r="B48" s="63"/>
      <c r="C48" s="57"/>
      <c r="D48" s="248"/>
      <c r="E48" s="57"/>
      <c r="F48" s="56">
        <f>IF(B48=0,0,50)</f>
        <v>0</v>
      </c>
    </row>
    <row r="49" spans="2:8" ht="15.75" customHeight="1" thickBot="1" x14ac:dyDescent="0.3">
      <c r="B49" s="94" t="s">
        <v>71</v>
      </c>
      <c r="C49" s="94" t="s">
        <v>268</v>
      </c>
      <c r="D49" s="94"/>
      <c r="E49" s="38">
        <f>E50+E56+E62+E71</f>
        <v>0</v>
      </c>
      <c r="F49" s="75">
        <f>F50+F56+F62+F71</f>
        <v>0</v>
      </c>
    </row>
    <row r="50" spans="2:8" ht="45.75" thickBot="1" x14ac:dyDescent="0.3">
      <c r="B50" s="283" t="s">
        <v>382</v>
      </c>
      <c r="C50" s="35" t="s">
        <v>86</v>
      </c>
      <c r="D50" s="244"/>
      <c r="E50" s="49">
        <f>COUNTA(B51:B55)</f>
        <v>0</v>
      </c>
      <c r="F50" s="54">
        <f>SUM(F51:F55)</f>
        <v>0</v>
      </c>
    </row>
    <row r="51" spans="2:8" x14ac:dyDescent="0.25">
      <c r="B51" s="44"/>
      <c r="C51" s="44"/>
      <c r="D51" s="245"/>
      <c r="E51" s="36"/>
      <c r="F51" s="56">
        <f>IF(B51=0,0,100*C51)</f>
        <v>0</v>
      </c>
      <c r="H51" s="227">
        <f>IF(C51=0,0,IF(AND(C51&gt;0,C51&lt;=5),"OK","trebuie maxim 5 ani"))</f>
        <v>0</v>
      </c>
    </row>
    <row r="52" spans="2:8" x14ac:dyDescent="0.25">
      <c r="B52" s="44"/>
      <c r="C52" s="44"/>
      <c r="D52" s="245"/>
      <c r="E52" s="36"/>
      <c r="F52" s="56">
        <f>IF(B52=0,0,100*C52)</f>
        <v>0</v>
      </c>
      <c r="H52" s="227">
        <f>IF(C52=0,0,IF(AND(C52&gt;0,C52&lt;=5),"OK","trebuie maxim 5 ani"))</f>
        <v>0</v>
      </c>
    </row>
    <row r="53" spans="2:8" x14ac:dyDescent="0.25">
      <c r="B53" s="44"/>
      <c r="C53" s="44"/>
      <c r="D53" s="245"/>
      <c r="E53" s="36"/>
      <c r="F53" s="56">
        <f>IF(B53=0,0,100*C53)</f>
        <v>0</v>
      </c>
      <c r="H53" s="227">
        <f>IF(C53=0,0,IF(AND(C53&gt;0,C53&lt;=5),"OK","trebuie maxim 5 ani"))</f>
        <v>0</v>
      </c>
    </row>
    <row r="54" spans="2:8" x14ac:dyDescent="0.25">
      <c r="B54" s="44"/>
      <c r="C54" s="44"/>
      <c r="D54" s="245"/>
      <c r="E54" s="36"/>
      <c r="F54" s="56">
        <f>IF(B54=0,0,100*C54)</f>
        <v>0</v>
      </c>
      <c r="H54" s="227">
        <f>IF(C54=0,0,IF(AND(C54&gt;0,C54&lt;=5),"OK","trebuie maxim 5 ani"))</f>
        <v>0</v>
      </c>
    </row>
    <row r="55" spans="2:8" ht="15.75" thickBot="1" x14ac:dyDescent="0.3">
      <c r="B55" s="44"/>
      <c r="C55" s="44"/>
      <c r="D55" s="245"/>
      <c r="E55" s="36"/>
      <c r="F55" s="56">
        <f>IF(B55=0,0,100*C55)</f>
        <v>0</v>
      </c>
      <c r="H55" s="227">
        <f>IF(C55=0,0,IF(AND(C55&gt;0,C55&lt;=5),"OK","trebuie maxim 5 ani"))</f>
        <v>0</v>
      </c>
    </row>
    <row r="56" spans="2:8" ht="15.75" thickBot="1" x14ac:dyDescent="0.3">
      <c r="B56" s="303" t="s">
        <v>463</v>
      </c>
      <c r="C56" s="36" t="s">
        <v>86</v>
      </c>
      <c r="D56" s="245"/>
      <c r="E56" s="58">
        <f>COUNTA(B57:B61)</f>
        <v>0</v>
      </c>
      <c r="F56" s="54">
        <f>SUM(F57:F61)</f>
        <v>0</v>
      </c>
      <c r="H56" s="246"/>
    </row>
    <row r="57" spans="2:8" x14ac:dyDescent="0.25">
      <c r="B57" s="44"/>
      <c r="C57" s="44"/>
      <c r="D57" s="245"/>
      <c r="E57" s="36"/>
      <c r="F57" s="56">
        <f>IF(B57=0,0,20*C57)</f>
        <v>0</v>
      </c>
      <c r="H57" s="227">
        <f>IF(C57=0,0,IF(AND(C57&gt;0,C57&lt;=5),"OK","trebuie maxim 5 ani"))</f>
        <v>0</v>
      </c>
    </row>
    <row r="58" spans="2:8" x14ac:dyDescent="0.25">
      <c r="B58" s="44"/>
      <c r="C58" s="44"/>
      <c r="D58" s="248"/>
      <c r="E58" s="57"/>
      <c r="F58" s="56">
        <f t="shared" ref="F58:F61" si="0">IF(B58=0,0,20*C58)</f>
        <v>0</v>
      </c>
      <c r="H58" s="227">
        <f>IF(C58=0,0,IF(AND(C58&gt;0,C58&lt;=5),"OK","trebuie maxim 5 ani"))</f>
        <v>0</v>
      </c>
    </row>
    <row r="59" spans="2:8" x14ac:dyDescent="0.25">
      <c r="B59" s="44"/>
      <c r="C59" s="44"/>
      <c r="D59" s="248"/>
      <c r="E59" s="57"/>
      <c r="F59" s="56">
        <f t="shared" si="0"/>
        <v>0</v>
      </c>
      <c r="H59" s="227">
        <f t="shared" ref="H59:H61" si="1">IF(C59=0,0,IF(AND(C59&gt;0,C59&lt;=5),"OK","trebuie maxim 5 ani"))</f>
        <v>0</v>
      </c>
    </row>
    <row r="60" spans="2:8" x14ac:dyDescent="0.25">
      <c r="B60" s="44"/>
      <c r="C60" s="44"/>
      <c r="D60" s="248"/>
      <c r="E60" s="57"/>
      <c r="F60" s="56">
        <f t="shared" si="0"/>
        <v>0</v>
      </c>
      <c r="H60" s="227">
        <f t="shared" si="1"/>
        <v>0</v>
      </c>
    </row>
    <row r="61" spans="2:8" ht="15.75" thickBot="1" x14ac:dyDescent="0.3">
      <c r="B61" s="44"/>
      <c r="C61" s="44"/>
      <c r="D61" s="248"/>
      <c r="E61" s="57"/>
      <c r="F61" s="56">
        <f t="shared" si="0"/>
        <v>0</v>
      </c>
      <c r="H61" s="227">
        <f t="shared" si="1"/>
        <v>0</v>
      </c>
    </row>
    <row r="62" spans="2:8" ht="30.75" thickBot="1" x14ac:dyDescent="0.3">
      <c r="B62" s="304" t="s">
        <v>464</v>
      </c>
      <c r="C62" s="36"/>
      <c r="D62" s="248"/>
      <c r="E62" s="249">
        <f>COUNTA(B63:B70)</f>
        <v>0</v>
      </c>
      <c r="F62" s="232">
        <f>SUM(F63:F70)</f>
        <v>0</v>
      </c>
    </row>
    <row r="63" spans="2:8" x14ac:dyDescent="0.25">
      <c r="B63" s="44"/>
      <c r="C63" s="44"/>
      <c r="D63" s="248"/>
      <c r="E63" s="57"/>
      <c r="F63" s="56">
        <f>IF(B63=0,0,10)</f>
        <v>0</v>
      </c>
    </row>
    <row r="64" spans="2:8" x14ac:dyDescent="0.25">
      <c r="B64" s="44"/>
      <c r="C64" s="44"/>
      <c r="D64" s="248"/>
      <c r="E64" s="57"/>
      <c r="F64" s="56">
        <f t="shared" ref="F64:F73" si="2">IF(B64=0,0,10)</f>
        <v>0</v>
      </c>
    </row>
    <row r="65" spans="2:6" x14ac:dyDescent="0.25">
      <c r="B65" s="44"/>
      <c r="C65" s="44"/>
      <c r="D65" s="248"/>
      <c r="E65" s="57"/>
      <c r="F65" s="56">
        <f t="shared" si="2"/>
        <v>0</v>
      </c>
    </row>
    <row r="66" spans="2:6" x14ac:dyDescent="0.25">
      <c r="B66" s="44"/>
      <c r="C66" s="44"/>
      <c r="D66" s="248"/>
      <c r="E66" s="57"/>
      <c r="F66" s="56">
        <f t="shared" si="2"/>
        <v>0</v>
      </c>
    </row>
    <row r="67" spans="2:6" x14ac:dyDescent="0.25">
      <c r="B67" s="44"/>
      <c r="C67" s="44"/>
      <c r="D67" s="248"/>
      <c r="E67" s="57"/>
      <c r="F67" s="56">
        <f t="shared" si="2"/>
        <v>0</v>
      </c>
    </row>
    <row r="68" spans="2:6" x14ac:dyDescent="0.25">
      <c r="B68" s="44"/>
      <c r="C68" s="44"/>
      <c r="D68" s="248"/>
      <c r="E68" s="57"/>
      <c r="F68" s="56">
        <f t="shared" si="2"/>
        <v>0</v>
      </c>
    </row>
    <row r="69" spans="2:6" x14ac:dyDescent="0.25">
      <c r="B69" s="44"/>
      <c r="C69" s="44"/>
      <c r="D69" s="248"/>
      <c r="E69" s="57"/>
      <c r="F69" s="56">
        <f t="shared" si="2"/>
        <v>0</v>
      </c>
    </row>
    <row r="70" spans="2:6" ht="15.75" thickBot="1" x14ac:dyDescent="0.3">
      <c r="B70" s="44"/>
      <c r="C70" s="44"/>
      <c r="D70" s="248"/>
      <c r="E70" s="57"/>
      <c r="F70" s="56">
        <f t="shared" si="2"/>
        <v>0</v>
      </c>
    </row>
    <row r="71" spans="2:6" ht="15.75" thickBot="1" x14ac:dyDescent="0.3">
      <c r="B71" s="303" t="s">
        <v>486</v>
      </c>
      <c r="C71" s="36"/>
      <c r="D71" s="245"/>
      <c r="E71" s="58">
        <f>COUNTA(B72:B76)</f>
        <v>0</v>
      </c>
      <c r="F71" s="54">
        <f>SUM(F72:F76)</f>
        <v>0</v>
      </c>
    </row>
    <row r="72" spans="2:6" x14ac:dyDescent="0.25">
      <c r="B72" s="44"/>
      <c r="C72" s="44"/>
      <c r="D72" s="245"/>
      <c r="E72" s="36"/>
      <c r="F72" s="56">
        <f>IF(B72=0,0,20)</f>
        <v>0</v>
      </c>
    </row>
    <row r="73" spans="2:6" x14ac:dyDescent="0.25">
      <c r="B73" s="44"/>
      <c r="C73" s="44"/>
      <c r="D73" s="248"/>
      <c r="E73" s="57"/>
      <c r="F73" s="56">
        <f t="shared" ref="F73:F76" si="3">IF(B73=0,0,20)</f>
        <v>0</v>
      </c>
    </row>
    <row r="74" spans="2:6" x14ac:dyDescent="0.25">
      <c r="B74" s="44"/>
      <c r="C74" s="44"/>
      <c r="D74" s="248"/>
      <c r="E74" s="57"/>
      <c r="F74" s="56">
        <f t="shared" si="3"/>
        <v>0</v>
      </c>
    </row>
    <row r="75" spans="2:6" x14ac:dyDescent="0.25">
      <c r="B75" s="44"/>
      <c r="C75" s="44"/>
      <c r="D75" s="248"/>
      <c r="E75" s="57"/>
      <c r="F75" s="56">
        <f t="shared" si="3"/>
        <v>0</v>
      </c>
    </row>
    <row r="76" spans="2:6" ht="15.75" thickBot="1" x14ac:dyDescent="0.3">
      <c r="B76" s="44"/>
      <c r="C76" s="44"/>
      <c r="D76" s="248"/>
      <c r="E76" s="57"/>
      <c r="F76" s="56">
        <f t="shared" si="3"/>
        <v>0</v>
      </c>
    </row>
    <row r="77" spans="2:6" ht="16.5" thickBot="1" x14ac:dyDescent="0.3">
      <c r="B77" s="305" t="s">
        <v>418</v>
      </c>
      <c r="C77" s="94" t="s">
        <v>87</v>
      </c>
      <c r="D77" s="94"/>
      <c r="E77" s="38"/>
      <c r="F77" s="75">
        <f>F78+F79+F80</f>
        <v>0</v>
      </c>
    </row>
    <row r="78" spans="2:6" x14ac:dyDescent="0.25">
      <c r="B78" s="190" t="s">
        <v>372</v>
      </c>
      <c r="C78" s="215"/>
      <c r="D78" s="244"/>
      <c r="E78" s="35"/>
      <c r="F78" s="56">
        <f>C78*10</f>
        <v>0</v>
      </c>
    </row>
    <row r="79" spans="2:6" x14ac:dyDescent="0.25">
      <c r="B79" s="189" t="s">
        <v>373</v>
      </c>
      <c r="C79" s="44"/>
      <c r="D79" s="245"/>
      <c r="E79" s="36"/>
      <c r="F79" s="56">
        <f>C79*10</f>
        <v>0</v>
      </c>
    </row>
    <row r="80" spans="2:6" ht="15.75" thickBot="1" x14ac:dyDescent="0.3">
      <c r="B80" s="191" t="s">
        <v>374</v>
      </c>
      <c r="C80" s="63"/>
      <c r="D80" s="248"/>
      <c r="E80" s="57"/>
      <c r="F80" s="48">
        <f>C80*10</f>
        <v>0</v>
      </c>
    </row>
    <row r="81" spans="2:9" ht="48" thickBot="1" x14ac:dyDescent="0.3">
      <c r="B81" s="306" t="s">
        <v>419</v>
      </c>
      <c r="C81" s="97" t="s">
        <v>268</v>
      </c>
      <c r="D81" s="97">
        <f>D82+D97+D116+D129</f>
        <v>0</v>
      </c>
      <c r="E81" s="94"/>
      <c r="F81" s="96">
        <f>F82+F97+F116+F129</f>
        <v>0</v>
      </c>
    </row>
    <row r="82" spans="2:9" ht="30.75" thickBot="1" x14ac:dyDescent="0.3">
      <c r="B82" s="190" t="s">
        <v>308</v>
      </c>
      <c r="C82" s="250" t="s">
        <v>272</v>
      </c>
      <c r="D82" s="251">
        <f>COUNTA(B83:B96)</f>
        <v>0</v>
      </c>
      <c r="E82" s="252" t="s">
        <v>83</v>
      </c>
      <c r="F82" s="52">
        <f>SUM(F83:F96)</f>
        <v>0</v>
      </c>
      <c r="H82" s="253" t="s">
        <v>127</v>
      </c>
      <c r="I82" s="253" t="s">
        <v>84</v>
      </c>
    </row>
    <row r="83" spans="2:9" x14ac:dyDescent="0.25">
      <c r="B83" s="44"/>
      <c r="C83" s="44"/>
      <c r="D83" s="254"/>
      <c r="E83" s="44"/>
      <c r="F83" s="56">
        <f>IF(C83=0,0,(80+20*E83)/C83)</f>
        <v>0</v>
      </c>
      <c r="H83" s="227"/>
      <c r="I83" s="228">
        <f>IF(E83&lt;=0, 0,IF(E83&gt;=1,"OK","Revista cu punctaj sub 1"))</f>
        <v>0</v>
      </c>
    </row>
    <row r="84" spans="2:9" x14ac:dyDescent="0.25">
      <c r="B84" s="44"/>
      <c r="C84" s="44"/>
      <c r="D84" s="254"/>
      <c r="E84" s="44"/>
      <c r="F84" s="56">
        <f>IF(C84=0,0,(80+20*E84)/C84)</f>
        <v>0</v>
      </c>
      <c r="H84" s="227"/>
      <c r="I84" s="228">
        <f>IF(E84&lt;=0, 0,IF(E84&gt;=1,"OK","Revista cu punctaj sub 1"))</f>
        <v>0</v>
      </c>
    </row>
    <row r="85" spans="2:9" x14ac:dyDescent="0.25">
      <c r="B85" s="44"/>
      <c r="C85" s="44"/>
      <c r="D85" s="254"/>
      <c r="E85" s="44"/>
      <c r="F85" s="56">
        <f t="shared" ref="F85:F96" si="4">IF(C85=0,0,(80+20*E85)/C85)</f>
        <v>0</v>
      </c>
      <c r="H85" s="227"/>
      <c r="I85" s="228">
        <f>IF(E85&lt;=0, 0,IF(E85&gt;=1,"OK","Revista cu punctaj sub 1"))</f>
        <v>0</v>
      </c>
    </row>
    <row r="86" spans="2:9" x14ac:dyDescent="0.25">
      <c r="B86" s="44"/>
      <c r="C86" s="44"/>
      <c r="D86" s="254"/>
      <c r="E86" s="44"/>
      <c r="F86" s="56">
        <f t="shared" si="4"/>
        <v>0</v>
      </c>
      <c r="H86" s="227"/>
      <c r="I86" s="228">
        <f t="shared" ref="I86:I94" si="5">IF(E86&lt;=0, 0,IF(E86&gt;=1,"OK","Revista cu punctaj sub 1"))</f>
        <v>0</v>
      </c>
    </row>
    <row r="87" spans="2:9" x14ac:dyDescent="0.25">
      <c r="B87" s="44"/>
      <c r="C87" s="44"/>
      <c r="D87" s="254"/>
      <c r="E87" s="44"/>
      <c r="F87" s="56">
        <f t="shared" si="4"/>
        <v>0</v>
      </c>
      <c r="H87" s="227"/>
      <c r="I87" s="228">
        <f t="shared" si="5"/>
        <v>0</v>
      </c>
    </row>
    <row r="88" spans="2:9" x14ac:dyDescent="0.25">
      <c r="B88" s="44"/>
      <c r="C88" s="44"/>
      <c r="D88" s="254"/>
      <c r="E88" s="44"/>
      <c r="F88" s="56">
        <f t="shared" si="4"/>
        <v>0</v>
      </c>
      <c r="H88" s="227"/>
      <c r="I88" s="228">
        <f>IF(E88&lt;=0, 0,IF(E88&gt;=1,"OK","Revista cu punctaj sub 1"))</f>
        <v>0</v>
      </c>
    </row>
    <row r="89" spans="2:9" x14ac:dyDescent="0.25">
      <c r="B89" s="44"/>
      <c r="C89" s="44"/>
      <c r="D89" s="254"/>
      <c r="E89" s="44"/>
      <c r="F89" s="56">
        <f t="shared" si="4"/>
        <v>0</v>
      </c>
      <c r="H89" s="227"/>
      <c r="I89" s="228">
        <f t="shared" si="5"/>
        <v>0</v>
      </c>
    </row>
    <row r="90" spans="2:9" x14ac:dyDescent="0.25">
      <c r="B90" s="44"/>
      <c r="C90" s="44"/>
      <c r="D90" s="254"/>
      <c r="E90" s="44"/>
      <c r="F90" s="56">
        <f t="shared" si="4"/>
        <v>0</v>
      </c>
      <c r="H90" s="227"/>
      <c r="I90" s="228">
        <f t="shared" si="5"/>
        <v>0</v>
      </c>
    </row>
    <row r="91" spans="2:9" x14ac:dyDescent="0.25">
      <c r="B91" s="44"/>
      <c r="C91" s="44"/>
      <c r="D91" s="254"/>
      <c r="E91" s="44"/>
      <c r="F91" s="56">
        <f t="shared" si="4"/>
        <v>0</v>
      </c>
      <c r="H91" s="227"/>
      <c r="I91" s="228">
        <f t="shared" si="5"/>
        <v>0</v>
      </c>
    </row>
    <row r="92" spans="2:9" x14ac:dyDescent="0.25">
      <c r="B92" s="44"/>
      <c r="C92" s="44"/>
      <c r="D92" s="254"/>
      <c r="E92" s="44"/>
      <c r="F92" s="56">
        <f t="shared" si="4"/>
        <v>0</v>
      </c>
      <c r="H92" s="227"/>
      <c r="I92" s="228">
        <f t="shared" si="5"/>
        <v>0</v>
      </c>
    </row>
    <row r="93" spans="2:9" x14ac:dyDescent="0.25">
      <c r="B93" s="44"/>
      <c r="C93" s="44"/>
      <c r="D93" s="254"/>
      <c r="E93" s="44"/>
      <c r="F93" s="56">
        <f t="shared" si="4"/>
        <v>0</v>
      </c>
      <c r="H93" s="227"/>
      <c r="I93" s="228">
        <f t="shared" si="5"/>
        <v>0</v>
      </c>
    </row>
    <row r="94" spans="2:9" x14ac:dyDescent="0.25">
      <c r="B94" s="44"/>
      <c r="C94" s="44"/>
      <c r="D94" s="254"/>
      <c r="E94" s="44"/>
      <c r="F94" s="56">
        <f t="shared" si="4"/>
        <v>0</v>
      </c>
      <c r="H94" s="227"/>
      <c r="I94" s="228">
        <f t="shared" si="5"/>
        <v>0</v>
      </c>
    </row>
    <row r="95" spans="2:9" x14ac:dyDescent="0.25">
      <c r="B95" s="44"/>
      <c r="C95" s="44"/>
      <c r="D95" s="254"/>
      <c r="E95" s="44"/>
      <c r="F95" s="56">
        <f t="shared" si="4"/>
        <v>0</v>
      </c>
      <c r="H95" s="227"/>
      <c r="I95" s="228">
        <f>IF(E95&lt;=0, 0,IF(E95&gt;=1,"OK","Revista cu punctaj sub 1"))</f>
        <v>0</v>
      </c>
    </row>
    <row r="96" spans="2:9" ht="15.75" thickBot="1" x14ac:dyDescent="0.3">
      <c r="B96" s="44"/>
      <c r="C96" s="44"/>
      <c r="D96" s="254"/>
      <c r="E96" s="44"/>
      <c r="F96" s="56">
        <f t="shared" si="4"/>
        <v>0</v>
      </c>
      <c r="H96" s="227"/>
      <c r="I96" s="228">
        <f>IF(E96&lt;=0, 0,IF(E96&gt;=1,"OK","Revista cu punctaj sub 1"))</f>
        <v>0</v>
      </c>
    </row>
    <row r="97" spans="2:9" ht="30.75" thickBot="1" x14ac:dyDescent="0.3">
      <c r="B97" s="189" t="s">
        <v>309</v>
      </c>
      <c r="C97" s="250" t="s">
        <v>272</v>
      </c>
      <c r="D97" s="251">
        <f>COUNTA(B98:B115)</f>
        <v>0</v>
      </c>
      <c r="E97" s="252" t="s">
        <v>83</v>
      </c>
      <c r="F97" s="54">
        <f>SUM(F98:F115)</f>
        <v>0</v>
      </c>
      <c r="H97" s="225" t="s">
        <v>85</v>
      </c>
      <c r="I97" s="226" t="s">
        <v>84</v>
      </c>
    </row>
    <row r="98" spans="2:9" x14ac:dyDescent="0.25">
      <c r="B98" s="44"/>
      <c r="C98" s="44"/>
      <c r="D98" s="254"/>
      <c r="E98" s="44"/>
      <c r="F98" s="56">
        <f>IF(C98=0,0,(40+10*E98)/C98)</f>
        <v>0</v>
      </c>
      <c r="H98" s="227"/>
      <c r="I98" s="228">
        <f>IF(E98&lt;=0, 0,IF(E98&lt;1,"OK","Revista cu punctaj peste 1"))</f>
        <v>0</v>
      </c>
    </row>
    <row r="99" spans="2:9" x14ac:dyDescent="0.25">
      <c r="B99" s="44"/>
      <c r="C99" s="44"/>
      <c r="D99" s="255"/>
      <c r="E99" s="63"/>
      <c r="F99" s="56">
        <f t="shared" ref="F99:F115" si="6">IF(C99=0,0,(40+10*E99)/C99)</f>
        <v>0</v>
      </c>
      <c r="H99" s="227"/>
      <c r="I99" s="228">
        <f>IF(E99&lt;=0, 0,IF(E99&lt;1,"OK","Revista cu punctaj peste 1"))</f>
        <v>0</v>
      </c>
    </row>
    <row r="100" spans="2:9" x14ac:dyDescent="0.25">
      <c r="B100" s="44"/>
      <c r="C100" s="44"/>
      <c r="D100" s="255"/>
      <c r="E100" s="63"/>
      <c r="F100" s="56">
        <f t="shared" si="6"/>
        <v>0</v>
      </c>
      <c r="H100" s="227"/>
      <c r="I100" s="228">
        <f t="shared" ref="I100:I112" si="7">IF(E100&lt;=0, 0,IF(E100&lt;1,"OK","Revista cu punctaj peste 1"))</f>
        <v>0</v>
      </c>
    </row>
    <row r="101" spans="2:9" x14ac:dyDescent="0.25">
      <c r="B101" s="44"/>
      <c r="C101" s="44"/>
      <c r="D101" s="255"/>
      <c r="E101" s="63"/>
      <c r="F101" s="56">
        <f>IF(C101=0,0,(40+10*E101)/C101)</f>
        <v>0</v>
      </c>
      <c r="H101" s="227"/>
      <c r="I101" s="228">
        <f t="shared" si="7"/>
        <v>0</v>
      </c>
    </row>
    <row r="102" spans="2:9" x14ac:dyDescent="0.25">
      <c r="B102" s="44"/>
      <c r="C102" s="44"/>
      <c r="D102" s="254"/>
      <c r="E102" s="44"/>
      <c r="F102" s="56">
        <f t="shared" si="6"/>
        <v>0</v>
      </c>
      <c r="H102" s="227"/>
      <c r="I102" s="228">
        <f t="shared" si="7"/>
        <v>0</v>
      </c>
    </row>
    <row r="103" spans="2:9" x14ac:dyDescent="0.25">
      <c r="B103" s="44"/>
      <c r="C103" s="44"/>
      <c r="D103" s="255"/>
      <c r="E103" s="63"/>
      <c r="F103" s="56">
        <f t="shared" si="6"/>
        <v>0</v>
      </c>
      <c r="H103" s="227"/>
      <c r="I103" s="228">
        <f t="shared" si="7"/>
        <v>0</v>
      </c>
    </row>
    <row r="104" spans="2:9" x14ac:dyDescent="0.25">
      <c r="B104" s="44"/>
      <c r="C104" s="44"/>
      <c r="D104" s="255"/>
      <c r="E104" s="63"/>
      <c r="F104" s="56">
        <f t="shared" si="6"/>
        <v>0</v>
      </c>
      <c r="H104" s="227"/>
      <c r="I104" s="228">
        <f t="shared" si="7"/>
        <v>0</v>
      </c>
    </row>
    <row r="105" spans="2:9" x14ac:dyDescent="0.25">
      <c r="B105" s="44"/>
      <c r="C105" s="44"/>
      <c r="D105" s="255"/>
      <c r="E105" s="63"/>
      <c r="F105" s="56">
        <f t="shared" si="6"/>
        <v>0</v>
      </c>
      <c r="H105" s="227"/>
      <c r="I105" s="228">
        <f t="shared" si="7"/>
        <v>0</v>
      </c>
    </row>
    <row r="106" spans="2:9" x14ac:dyDescent="0.25">
      <c r="B106" s="44"/>
      <c r="C106" s="44"/>
      <c r="D106" s="255"/>
      <c r="E106" s="63"/>
      <c r="F106" s="56">
        <f t="shared" si="6"/>
        <v>0</v>
      </c>
      <c r="H106" s="227"/>
      <c r="I106" s="228">
        <f t="shared" si="7"/>
        <v>0</v>
      </c>
    </row>
    <row r="107" spans="2:9" x14ac:dyDescent="0.25">
      <c r="B107" s="44"/>
      <c r="C107" s="44"/>
      <c r="D107" s="255"/>
      <c r="E107" s="63"/>
      <c r="F107" s="56">
        <f t="shared" si="6"/>
        <v>0</v>
      </c>
      <c r="H107" s="227"/>
      <c r="I107" s="228">
        <f t="shared" si="7"/>
        <v>0</v>
      </c>
    </row>
    <row r="108" spans="2:9" x14ac:dyDescent="0.25">
      <c r="B108" s="44"/>
      <c r="C108" s="44"/>
      <c r="D108" s="255"/>
      <c r="E108" s="63"/>
      <c r="F108" s="56">
        <f t="shared" si="6"/>
        <v>0</v>
      </c>
      <c r="H108" s="227"/>
      <c r="I108" s="228">
        <f t="shared" si="7"/>
        <v>0</v>
      </c>
    </row>
    <row r="109" spans="2:9" x14ac:dyDescent="0.25">
      <c r="B109" s="44"/>
      <c r="C109" s="44"/>
      <c r="D109" s="255"/>
      <c r="E109" s="63"/>
      <c r="F109" s="56">
        <f t="shared" si="6"/>
        <v>0</v>
      </c>
      <c r="H109" s="227"/>
      <c r="I109" s="228">
        <f t="shared" si="7"/>
        <v>0</v>
      </c>
    </row>
    <row r="110" spans="2:9" x14ac:dyDescent="0.25">
      <c r="B110" s="44"/>
      <c r="C110" s="44"/>
      <c r="D110" s="255"/>
      <c r="E110" s="63"/>
      <c r="F110" s="56">
        <f t="shared" si="6"/>
        <v>0</v>
      </c>
      <c r="H110" s="227"/>
      <c r="I110" s="228">
        <f t="shared" si="7"/>
        <v>0</v>
      </c>
    </row>
    <row r="111" spans="2:9" x14ac:dyDescent="0.25">
      <c r="B111" s="44"/>
      <c r="C111" s="44"/>
      <c r="D111" s="255"/>
      <c r="E111" s="63"/>
      <c r="F111" s="56">
        <f t="shared" si="6"/>
        <v>0</v>
      </c>
      <c r="H111" s="227"/>
      <c r="I111" s="228">
        <f t="shared" si="7"/>
        <v>0</v>
      </c>
    </row>
    <row r="112" spans="2:9" x14ac:dyDescent="0.25">
      <c r="B112" s="44"/>
      <c r="C112" s="44"/>
      <c r="D112" s="255"/>
      <c r="E112" s="63"/>
      <c r="F112" s="56">
        <f t="shared" si="6"/>
        <v>0</v>
      </c>
      <c r="H112" s="227"/>
      <c r="I112" s="228">
        <f t="shared" si="7"/>
        <v>0</v>
      </c>
    </row>
    <row r="113" spans="2:9" x14ac:dyDescent="0.25">
      <c r="B113" s="44"/>
      <c r="C113" s="44"/>
      <c r="D113" s="255"/>
      <c r="E113" s="63"/>
      <c r="F113" s="56">
        <f t="shared" si="6"/>
        <v>0</v>
      </c>
      <c r="H113" s="227"/>
      <c r="I113" s="228">
        <f>IF(E113&lt;=0, 0,IF(E113&lt;1,"OK","Revista cu punctaj peste 1"))</f>
        <v>0</v>
      </c>
    </row>
    <row r="114" spans="2:9" x14ac:dyDescent="0.25">
      <c r="B114" s="44"/>
      <c r="C114" s="44"/>
      <c r="D114" s="255"/>
      <c r="E114" s="63"/>
      <c r="F114" s="56">
        <f t="shared" si="6"/>
        <v>0</v>
      </c>
      <c r="H114" s="227"/>
      <c r="I114" s="228">
        <f>IF(E114&lt;=0, 0,IF(E114&lt;1,"OK","Revista cu punctaj peste 1"))</f>
        <v>0</v>
      </c>
    </row>
    <row r="115" spans="2:9" ht="15.75" thickBot="1" x14ac:dyDescent="0.3">
      <c r="B115" s="44"/>
      <c r="C115" s="44"/>
      <c r="D115" s="255"/>
      <c r="E115" s="63"/>
      <c r="F115" s="56">
        <f t="shared" si="6"/>
        <v>0</v>
      </c>
      <c r="H115" s="227"/>
      <c r="I115" s="228">
        <f>IF(E115&lt;=0, 0,IF(E115&lt;1,"OK","Revista cu punctaj peste 1"))</f>
        <v>0</v>
      </c>
    </row>
    <row r="116" spans="2:9" ht="30.75" thickBot="1" x14ac:dyDescent="0.3">
      <c r="B116" s="188" t="s">
        <v>273</v>
      </c>
      <c r="C116" s="250" t="s">
        <v>272</v>
      </c>
      <c r="D116" s="256">
        <f>COUNTA(B117:B128)</f>
        <v>0</v>
      </c>
      <c r="E116" s="249"/>
      <c r="F116" s="54">
        <f>SUM(F117:F128)</f>
        <v>0</v>
      </c>
    </row>
    <row r="117" spans="2:9" x14ac:dyDescent="0.25">
      <c r="B117" s="44"/>
      <c r="C117" s="44"/>
      <c r="D117" s="255"/>
      <c r="E117" s="63"/>
      <c r="F117" s="56">
        <f>IF(C117=0,0,20/C117)</f>
        <v>0</v>
      </c>
    </row>
    <row r="118" spans="2:9" x14ac:dyDescent="0.25">
      <c r="B118" s="44"/>
      <c r="C118" s="44"/>
      <c r="D118" s="255"/>
      <c r="E118" s="63"/>
      <c r="F118" s="56">
        <f>IF(C118=0,0,20/C118)</f>
        <v>0</v>
      </c>
    </row>
    <row r="119" spans="2:9" x14ac:dyDescent="0.25">
      <c r="B119" s="44"/>
      <c r="C119" s="44"/>
      <c r="D119" s="255"/>
      <c r="E119" s="63"/>
      <c r="F119" s="56">
        <f>IF(C119=0,0,20/C119)</f>
        <v>0</v>
      </c>
    </row>
    <row r="120" spans="2:9" x14ac:dyDescent="0.25">
      <c r="B120" s="44"/>
      <c r="C120" s="44"/>
      <c r="D120" s="255"/>
      <c r="E120" s="63"/>
      <c r="F120" s="56">
        <f t="shared" ref="F120:F126" si="8">IF(C120=0,0,20/C120)</f>
        <v>0</v>
      </c>
    </row>
    <row r="121" spans="2:9" x14ac:dyDescent="0.25">
      <c r="B121" s="44"/>
      <c r="C121" s="44"/>
      <c r="D121" s="255"/>
      <c r="E121" s="63"/>
      <c r="F121" s="56">
        <f t="shared" si="8"/>
        <v>0</v>
      </c>
    </row>
    <row r="122" spans="2:9" x14ac:dyDescent="0.25">
      <c r="B122" s="44"/>
      <c r="C122" s="44"/>
      <c r="D122" s="255"/>
      <c r="E122" s="63"/>
      <c r="F122" s="56">
        <f t="shared" si="8"/>
        <v>0</v>
      </c>
    </row>
    <row r="123" spans="2:9" x14ac:dyDescent="0.25">
      <c r="B123" s="44"/>
      <c r="C123" s="44"/>
      <c r="D123" s="255"/>
      <c r="E123" s="63"/>
      <c r="F123" s="56">
        <f t="shared" si="8"/>
        <v>0</v>
      </c>
    </row>
    <row r="124" spans="2:9" x14ac:dyDescent="0.25">
      <c r="B124" s="44"/>
      <c r="C124" s="44"/>
      <c r="D124" s="255"/>
      <c r="E124" s="63"/>
      <c r="F124" s="56">
        <f t="shared" si="8"/>
        <v>0</v>
      </c>
    </row>
    <row r="125" spans="2:9" x14ac:dyDescent="0.25">
      <c r="B125" s="44"/>
      <c r="C125" s="44"/>
      <c r="D125" s="255"/>
      <c r="E125" s="63"/>
      <c r="F125" s="56">
        <f t="shared" si="8"/>
        <v>0</v>
      </c>
    </row>
    <row r="126" spans="2:9" x14ac:dyDescent="0.25">
      <c r="B126" s="44"/>
      <c r="C126" s="44"/>
      <c r="D126" s="255"/>
      <c r="E126" s="63"/>
      <c r="F126" s="56">
        <f t="shared" si="8"/>
        <v>0</v>
      </c>
    </row>
    <row r="127" spans="2:9" x14ac:dyDescent="0.25">
      <c r="B127" s="44"/>
      <c r="C127" s="44"/>
      <c r="D127" s="255"/>
      <c r="E127" s="63"/>
      <c r="F127" s="56">
        <f>IF(C127=0,0,20/C127)</f>
        <v>0</v>
      </c>
    </row>
    <row r="128" spans="2:9" ht="15.75" thickBot="1" x14ac:dyDescent="0.3">
      <c r="B128" s="44"/>
      <c r="C128" s="44"/>
      <c r="D128" s="255"/>
      <c r="E128" s="63"/>
      <c r="F128" s="48">
        <f>IF(C128=0,0,20/C128)</f>
        <v>0</v>
      </c>
    </row>
    <row r="129" spans="2:6" ht="30.75" thickBot="1" x14ac:dyDescent="0.3">
      <c r="B129" s="188" t="s">
        <v>181</v>
      </c>
      <c r="C129" s="250" t="s">
        <v>272</v>
      </c>
      <c r="D129" s="256">
        <f>COUNTA(B130:B156)</f>
        <v>0</v>
      </c>
      <c r="E129" s="257"/>
      <c r="F129" s="54">
        <f>SUM(F130:F156)</f>
        <v>0</v>
      </c>
    </row>
    <row r="130" spans="2:6" x14ac:dyDescent="0.25">
      <c r="B130" s="44"/>
      <c r="C130" s="44"/>
      <c r="D130" s="255"/>
      <c r="E130" s="63"/>
      <c r="F130" s="56">
        <f>IF(C130=0,0,15/C130)</f>
        <v>0</v>
      </c>
    </row>
    <row r="131" spans="2:6" x14ac:dyDescent="0.25">
      <c r="B131" s="44"/>
      <c r="C131" s="44"/>
      <c r="D131" s="255"/>
      <c r="E131" s="63"/>
      <c r="F131" s="56">
        <f>IF(C131=0,0,15/C131)</f>
        <v>0</v>
      </c>
    </row>
    <row r="132" spans="2:6" x14ac:dyDescent="0.25">
      <c r="B132" s="44"/>
      <c r="C132" s="44"/>
      <c r="D132" s="255"/>
      <c r="E132" s="63"/>
      <c r="F132" s="56">
        <f t="shared" ref="F132:F155" si="9">IF(C132=0,0,15/C132)</f>
        <v>0</v>
      </c>
    </row>
    <row r="133" spans="2:6" x14ac:dyDescent="0.25">
      <c r="B133" s="44"/>
      <c r="C133" s="44"/>
      <c r="D133" s="255"/>
      <c r="E133" s="63"/>
      <c r="F133" s="56">
        <f t="shared" si="9"/>
        <v>0</v>
      </c>
    </row>
    <row r="134" spans="2:6" x14ac:dyDescent="0.25">
      <c r="B134" s="44"/>
      <c r="C134" s="44"/>
      <c r="D134" s="255"/>
      <c r="E134" s="63"/>
      <c r="F134" s="56">
        <f t="shared" si="9"/>
        <v>0</v>
      </c>
    </row>
    <row r="135" spans="2:6" x14ac:dyDescent="0.25">
      <c r="B135" s="44"/>
      <c r="C135" s="44"/>
      <c r="D135" s="255"/>
      <c r="E135" s="63"/>
      <c r="F135" s="56">
        <f t="shared" si="9"/>
        <v>0</v>
      </c>
    </row>
    <row r="136" spans="2:6" x14ac:dyDescent="0.25">
      <c r="B136" s="44"/>
      <c r="C136" s="44"/>
      <c r="D136" s="255"/>
      <c r="E136" s="63"/>
      <c r="F136" s="56">
        <f t="shared" si="9"/>
        <v>0</v>
      </c>
    </row>
    <row r="137" spans="2:6" x14ac:dyDescent="0.25">
      <c r="B137" s="44"/>
      <c r="C137" s="44"/>
      <c r="D137" s="255"/>
      <c r="E137" s="63"/>
      <c r="F137" s="56">
        <f t="shared" si="9"/>
        <v>0</v>
      </c>
    </row>
    <row r="138" spans="2:6" x14ac:dyDescent="0.25">
      <c r="B138" s="44"/>
      <c r="C138" s="44"/>
      <c r="D138" s="255"/>
      <c r="E138" s="63"/>
      <c r="F138" s="56">
        <f t="shared" si="9"/>
        <v>0</v>
      </c>
    </row>
    <row r="139" spans="2:6" x14ac:dyDescent="0.25">
      <c r="B139" s="44"/>
      <c r="C139" s="44"/>
      <c r="D139" s="255"/>
      <c r="E139" s="63"/>
      <c r="F139" s="56">
        <f t="shared" si="9"/>
        <v>0</v>
      </c>
    </row>
    <row r="140" spans="2:6" x14ac:dyDescent="0.25">
      <c r="B140" s="44"/>
      <c r="C140" s="44"/>
      <c r="D140" s="255"/>
      <c r="E140" s="63"/>
      <c r="F140" s="56">
        <f t="shared" si="9"/>
        <v>0</v>
      </c>
    </row>
    <row r="141" spans="2:6" x14ac:dyDescent="0.25">
      <c r="B141" s="44"/>
      <c r="C141" s="44"/>
      <c r="D141" s="255"/>
      <c r="E141" s="63"/>
      <c r="F141" s="56">
        <f t="shared" si="9"/>
        <v>0</v>
      </c>
    </row>
    <row r="142" spans="2:6" x14ac:dyDescent="0.25">
      <c r="B142" s="44"/>
      <c r="C142" s="44"/>
      <c r="D142" s="255"/>
      <c r="E142" s="63"/>
      <c r="F142" s="56">
        <f t="shared" si="9"/>
        <v>0</v>
      </c>
    </row>
    <row r="143" spans="2:6" x14ac:dyDescent="0.25">
      <c r="B143" s="44"/>
      <c r="C143" s="44"/>
      <c r="D143" s="255"/>
      <c r="E143" s="63"/>
      <c r="F143" s="56">
        <f t="shared" si="9"/>
        <v>0</v>
      </c>
    </row>
    <row r="144" spans="2:6" x14ac:dyDescent="0.25">
      <c r="B144" s="44"/>
      <c r="C144" s="44"/>
      <c r="D144" s="255"/>
      <c r="E144" s="63"/>
      <c r="F144" s="56">
        <f t="shared" si="9"/>
        <v>0</v>
      </c>
    </row>
    <row r="145" spans="2:9" x14ac:dyDescent="0.25">
      <c r="B145" s="44"/>
      <c r="C145" s="44"/>
      <c r="D145" s="255"/>
      <c r="E145" s="63"/>
      <c r="F145" s="56">
        <f t="shared" si="9"/>
        <v>0</v>
      </c>
    </row>
    <row r="146" spans="2:9" x14ac:dyDescent="0.25">
      <c r="B146" s="44"/>
      <c r="C146" s="44"/>
      <c r="D146" s="255"/>
      <c r="E146" s="63"/>
      <c r="F146" s="56">
        <f t="shared" si="9"/>
        <v>0</v>
      </c>
    </row>
    <row r="147" spans="2:9" x14ac:dyDescent="0.25">
      <c r="B147" s="44"/>
      <c r="C147" s="44"/>
      <c r="D147" s="255"/>
      <c r="E147" s="63"/>
      <c r="F147" s="56">
        <f t="shared" si="9"/>
        <v>0</v>
      </c>
    </row>
    <row r="148" spans="2:9" x14ac:dyDescent="0.25">
      <c r="B148" s="44"/>
      <c r="C148" s="44"/>
      <c r="D148" s="255"/>
      <c r="E148" s="63"/>
      <c r="F148" s="56">
        <f t="shared" si="9"/>
        <v>0</v>
      </c>
    </row>
    <row r="149" spans="2:9" x14ac:dyDescent="0.25">
      <c r="B149" s="44"/>
      <c r="C149" s="44"/>
      <c r="D149" s="255"/>
      <c r="E149" s="63"/>
      <c r="F149" s="56">
        <f t="shared" si="9"/>
        <v>0</v>
      </c>
    </row>
    <row r="150" spans="2:9" x14ac:dyDescent="0.25">
      <c r="B150" s="44"/>
      <c r="C150" s="44"/>
      <c r="D150" s="255"/>
      <c r="E150" s="63"/>
      <c r="F150" s="56">
        <f t="shared" si="9"/>
        <v>0</v>
      </c>
    </row>
    <row r="151" spans="2:9" x14ac:dyDescent="0.25">
      <c r="B151" s="44"/>
      <c r="C151" s="44"/>
      <c r="D151" s="255"/>
      <c r="E151" s="63"/>
      <c r="F151" s="56">
        <f t="shared" si="9"/>
        <v>0</v>
      </c>
    </row>
    <row r="152" spans="2:9" x14ac:dyDescent="0.25">
      <c r="B152" s="44"/>
      <c r="C152" s="44"/>
      <c r="D152" s="255"/>
      <c r="E152" s="63"/>
      <c r="F152" s="56">
        <f t="shared" si="9"/>
        <v>0</v>
      </c>
    </row>
    <row r="153" spans="2:9" x14ac:dyDescent="0.25">
      <c r="B153" s="44"/>
      <c r="C153" s="44"/>
      <c r="D153" s="255"/>
      <c r="E153" s="63"/>
      <c r="F153" s="56">
        <f t="shared" si="9"/>
        <v>0</v>
      </c>
    </row>
    <row r="154" spans="2:9" x14ac:dyDescent="0.25">
      <c r="B154" s="44"/>
      <c r="C154" s="44"/>
      <c r="D154" s="255"/>
      <c r="E154" s="63"/>
      <c r="F154" s="56">
        <f t="shared" si="9"/>
        <v>0</v>
      </c>
    </row>
    <row r="155" spans="2:9" x14ac:dyDescent="0.25">
      <c r="B155" s="44"/>
      <c r="C155" s="44"/>
      <c r="D155" s="254"/>
      <c r="E155" s="44"/>
      <c r="F155" s="56">
        <f t="shared" si="9"/>
        <v>0</v>
      </c>
    </row>
    <row r="156" spans="2:9" ht="15.75" thickBot="1" x14ac:dyDescent="0.3">
      <c r="B156" s="44"/>
      <c r="C156" s="63"/>
      <c r="D156" s="255"/>
      <c r="E156" s="63"/>
      <c r="F156" s="48">
        <f>IF(C156=0,0,15/C156)</f>
        <v>0</v>
      </c>
    </row>
    <row r="157" spans="2:9" ht="16.5" thickBot="1" x14ac:dyDescent="0.3">
      <c r="B157" s="94" t="s">
        <v>274</v>
      </c>
      <c r="C157" s="93" t="s">
        <v>268</v>
      </c>
      <c r="D157" s="172">
        <f>D158+D163+D168+D172</f>
        <v>0</v>
      </c>
      <c r="E157" s="38"/>
      <c r="F157" s="87">
        <f>F158+F163+F168+F172</f>
        <v>0</v>
      </c>
    </row>
    <row r="158" spans="2:9" ht="30.75" thickBot="1" x14ac:dyDescent="0.3">
      <c r="B158" s="188" t="s">
        <v>184</v>
      </c>
      <c r="C158" s="36"/>
      <c r="D158" s="222">
        <f>COUNTA(B159:B162)</f>
        <v>0</v>
      </c>
      <c r="E158" s="252" t="s">
        <v>83</v>
      </c>
      <c r="F158" s="232">
        <f>SUM(F159:F162)</f>
        <v>0</v>
      </c>
      <c r="H158" s="258" t="s">
        <v>85</v>
      </c>
      <c r="I158" s="258" t="s">
        <v>84</v>
      </c>
    </row>
    <row r="159" spans="2:9" x14ac:dyDescent="0.25">
      <c r="B159" s="44"/>
      <c r="C159" s="44"/>
      <c r="D159" s="44"/>
      <c r="E159" s="44"/>
      <c r="F159" s="56">
        <f>IF(B159=0,0,20)</f>
        <v>0</v>
      </c>
      <c r="H159" s="227"/>
      <c r="I159" s="227">
        <f>IF(E159&lt;=0, 0,IF(E159&lt;1,"OK","Revista cu punctaj peste 1"))</f>
        <v>0</v>
      </c>
    </row>
    <row r="160" spans="2:9" x14ac:dyDescent="0.25">
      <c r="B160" s="44"/>
      <c r="C160" s="44"/>
      <c r="D160" s="44"/>
      <c r="E160" s="44"/>
      <c r="F160" s="56">
        <f>IF(B160=0,0,20)</f>
        <v>0</v>
      </c>
      <c r="H160" s="227"/>
      <c r="I160" s="227">
        <f>IF(E160&lt;=0, 0,IF(E160&lt;1,"OK","Revista cu punctaj peste 1"))</f>
        <v>0</v>
      </c>
    </row>
    <row r="161" spans="2:9" x14ac:dyDescent="0.25">
      <c r="B161" s="44"/>
      <c r="C161" s="44"/>
      <c r="D161" s="44"/>
      <c r="E161" s="44"/>
      <c r="F161" s="56">
        <f>IF(B161=0,0,20)</f>
        <v>0</v>
      </c>
      <c r="H161" s="227"/>
      <c r="I161" s="227">
        <f>IF(E161&lt;=0, 0,IF(E161&lt;1,"OK","Revista cu punctaj peste 1"))</f>
        <v>0</v>
      </c>
    </row>
    <row r="162" spans="2:9" ht="15.75" thickBot="1" x14ac:dyDescent="0.3">
      <c r="B162" s="44"/>
      <c r="C162" s="44"/>
      <c r="D162" s="44"/>
      <c r="E162" s="44"/>
      <c r="F162" s="56">
        <f>IF(B162=0,0,20)</f>
        <v>0</v>
      </c>
      <c r="H162" s="227"/>
      <c r="I162" s="227">
        <f>IF(E162&lt;=0, 0,IF(E162&lt;1,"OK","Revista cu punctaj peste 1"))</f>
        <v>0</v>
      </c>
    </row>
    <row r="163" spans="2:9" ht="30.75" thickBot="1" x14ac:dyDescent="0.3">
      <c r="B163" s="188" t="s">
        <v>185</v>
      </c>
      <c r="C163" s="36"/>
      <c r="D163" s="222">
        <f>COUNTA(B164:B167)</f>
        <v>0</v>
      </c>
      <c r="E163" s="252" t="s">
        <v>83</v>
      </c>
      <c r="F163" s="232">
        <f>SUM(F164:F167)</f>
        <v>0</v>
      </c>
      <c r="H163" s="225" t="s">
        <v>127</v>
      </c>
      <c r="I163" s="225" t="s">
        <v>84</v>
      </c>
    </row>
    <row r="164" spans="2:9" x14ac:dyDescent="0.25">
      <c r="B164" s="44"/>
      <c r="C164" s="44"/>
      <c r="D164" s="44"/>
      <c r="E164" s="44"/>
      <c r="F164" s="56">
        <f>IF(B164=0,0,30)</f>
        <v>0</v>
      </c>
      <c r="H164" s="227"/>
      <c r="I164" s="228">
        <f>IF(E164&lt;=0, 0,IF(E164&gt;=1,"OK","Revista cu punctaj sub 1"))</f>
        <v>0</v>
      </c>
    </row>
    <row r="165" spans="2:9" x14ac:dyDescent="0.25">
      <c r="B165" s="44"/>
      <c r="C165" s="44"/>
      <c r="D165" s="44"/>
      <c r="E165" s="44"/>
      <c r="F165" s="56">
        <f>IF(B165=0,0,30)</f>
        <v>0</v>
      </c>
      <c r="H165" s="227"/>
      <c r="I165" s="228">
        <f>IF(E165&lt;=0, 0,IF(E165&gt;=1,"OK","Revista cu punctaj sub 1"))</f>
        <v>0</v>
      </c>
    </row>
    <row r="166" spans="2:9" x14ac:dyDescent="0.25">
      <c r="B166" s="63"/>
      <c r="C166" s="63"/>
      <c r="D166" s="63"/>
      <c r="E166" s="44"/>
      <c r="F166" s="56">
        <f t="shared" ref="F166:F167" si="10">IF(B166=0,0,30)</f>
        <v>0</v>
      </c>
      <c r="H166" s="227"/>
      <c r="I166" s="228">
        <f t="shared" ref="I166:I167" si="11">IF(E166&lt;=0, 0,IF(E166&gt;=1,"OK","Revista cu punctaj sub 1"))</f>
        <v>0</v>
      </c>
    </row>
    <row r="167" spans="2:9" ht="15.75" thickBot="1" x14ac:dyDescent="0.3">
      <c r="B167" s="63"/>
      <c r="C167" s="63"/>
      <c r="D167" s="63"/>
      <c r="E167" s="44"/>
      <c r="F167" s="56">
        <f t="shared" si="10"/>
        <v>0</v>
      </c>
      <c r="H167" s="227"/>
      <c r="I167" s="228">
        <f t="shared" si="11"/>
        <v>0</v>
      </c>
    </row>
    <row r="168" spans="2:9" ht="15.75" thickBot="1" x14ac:dyDescent="0.3">
      <c r="B168" s="303" t="s">
        <v>356</v>
      </c>
      <c r="C168" s="36"/>
      <c r="D168" s="222">
        <f>COUNTA(B169:B171)</f>
        <v>0</v>
      </c>
      <c r="E168" s="252"/>
      <c r="F168" s="232">
        <f>SUM(F169:F171)</f>
        <v>0</v>
      </c>
    </row>
    <row r="169" spans="2:9" x14ac:dyDescent="0.25">
      <c r="B169" s="44"/>
      <c r="C169" s="44"/>
      <c r="D169" s="44"/>
      <c r="E169" s="44"/>
      <c r="F169" s="56">
        <f>IF(B169=0,0,30)</f>
        <v>0</v>
      </c>
    </row>
    <row r="170" spans="2:9" x14ac:dyDescent="0.25">
      <c r="B170" s="44"/>
      <c r="C170" s="44"/>
      <c r="D170" s="44"/>
      <c r="E170" s="44"/>
      <c r="F170" s="56">
        <f t="shared" ref="F170:F171" si="12">IF(B170=0,0,30)</f>
        <v>0</v>
      </c>
    </row>
    <row r="171" spans="2:9" ht="15.75" thickBot="1" x14ac:dyDescent="0.3">
      <c r="B171" s="44"/>
      <c r="C171" s="44"/>
      <c r="D171" s="44"/>
      <c r="E171" s="44"/>
      <c r="F171" s="56">
        <f t="shared" si="12"/>
        <v>0</v>
      </c>
    </row>
    <row r="172" spans="2:9" ht="15.75" thickBot="1" x14ac:dyDescent="0.3">
      <c r="B172" s="303" t="s">
        <v>357</v>
      </c>
      <c r="C172" s="36"/>
      <c r="D172" s="222">
        <f>COUNTA(B173:B175)</f>
        <v>0</v>
      </c>
      <c r="E172" s="252"/>
      <c r="F172" s="232">
        <f>SUM(F173:F175)</f>
        <v>0</v>
      </c>
    </row>
    <row r="173" spans="2:9" x14ac:dyDescent="0.25">
      <c r="B173" s="44"/>
      <c r="C173" s="44"/>
      <c r="D173" s="44"/>
      <c r="E173" s="44"/>
      <c r="F173" s="56">
        <f>IF(B173=0,0,50)</f>
        <v>0</v>
      </c>
    </row>
    <row r="174" spans="2:9" x14ac:dyDescent="0.25">
      <c r="B174" s="44"/>
      <c r="C174" s="44"/>
      <c r="D174" s="44"/>
      <c r="E174" s="44"/>
      <c r="F174" s="56">
        <f t="shared" ref="F174:F175" si="13">IF(B174=0,0,50)</f>
        <v>0</v>
      </c>
    </row>
    <row r="175" spans="2:9" ht="15.75" thickBot="1" x14ac:dyDescent="0.3">
      <c r="B175" s="44"/>
      <c r="C175" s="44"/>
      <c r="D175" s="44"/>
      <c r="E175" s="44"/>
      <c r="F175" s="56">
        <f t="shared" si="13"/>
        <v>0</v>
      </c>
    </row>
    <row r="176" spans="2:9" ht="16.5" thickBot="1" x14ac:dyDescent="0.3">
      <c r="B176" s="94" t="s">
        <v>275</v>
      </c>
      <c r="C176" s="94" t="s">
        <v>268</v>
      </c>
      <c r="D176" s="94"/>
      <c r="E176" s="94"/>
      <c r="F176" s="223">
        <f>F177+F186+F193+F206+F217+F219+F222+F244+F248+F227+F229+F231+F240+F242+F235+F237</f>
        <v>0</v>
      </c>
    </row>
    <row r="177" spans="2:8" ht="15.75" customHeight="1" thickBot="1" x14ac:dyDescent="0.3">
      <c r="B177" s="24" t="s">
        <v>72</v>
      </c>
      <c r="C177" s="35"/>
      <c r="D177" s="259"/>
      <c r="E177" s="50">
        <f>E178+E182</f>
        <v>0</v>
      </c>
      <c r="F177" s="54">
        <f>F178+F182</f>
        <v>0</v>
      </c>
    </row>
    <row r="178" spans="2:8" ht="15.75" thickBot="1" x14ac:dyDescent="0.3">
      <c r="B178" s="188" t="s">
        <v>383</v>
      </c>
      <c r="C178" s="36" t="s">
        <v>384</v>
      </c>
      <c r="D178" s="245"/>
      <c r="E178" s="49">
        <f>COUNTA(B179:B181)</f>
        <v>0</v>
      </c>
      <c r="F178" s="54">
        <f>SUM(F179:F181)</f>
        <v>0</v>
      </c>
    </row>
    <row r="179" spans="2:8" x14ac:dyDescent="0.25">
      <c r="B179" s="44"/>
      <c r="C179" s="44"/>
      <c r="D179" s="245"/>
      <c r="E179" s="36"/>
      <c r="F179" s="56">
        <f>IF(B179=0,0,30*C179)</f>
        <v>0</v>
      </c>
    </row>
    <row r="180" spans="2:8" x14ac:dyDescent="0.25">
      <c r="B180" s="44"/>
      <c r="C180" s="44"/>
      <c r="D180" s="245"/>
      <c r="E180" s="36"/>
      <c r="F180" s="56">
        <f>IF(B180=0,0,30*C180)</f>
        <v>0</v>
      </c>
    </row>
    <row r="181" spans="2:8" ht="15.75" thickBot="1" x14ac:dyDescent="0.3">
      <c r="B181" s="44"/>
      <c r="C181" s="44"/>
      <c r="D181" s="245"/>
      <c r="E181" s="36"/>
      <c r="F181" s="56">
        <f>IF(B181=0,0,30*C181)</f>
        <v>0</v>
      </c>
    </row>
    <row r="182" spans="2:8" ht="15.75" thickBot="1" x14ac:dyDescent="0.3">
      <c r="B182" s="188" t="s">
        <v>385</v>
      </c>
      <c r="C182" s="36" t="s">
        <v>384</v>
      </c>
      <c r="D182" s="245"/>
      <c r="E182" s="58">
        <f>COUNTA(B183:B185)</f>
        <v>0</v>
      </c>
      <c r="F182" s="54">
        <f>SUM(F183:F185)</f>
        <v>0</v>
      </c>
    </row>
    <row r="183" spans="2:8" x14ac:dyDescent="0.25">
      <c r="B183" s="44"/>
      <c r="C183" s="44"/>
      <c r="D183" s="245"/>
      <c r="E183" s="36"/>
      <c r="F183" s="56">
        <f>IF(B183=0,0,60*C183)</f>
        <v>0</v>
      </c>
    </row>
    <row r="184" spans="2:8" x14ac:dyDescent="0.25">
      <c r="B184" s="44"/>
      <c r="C184" s="44"/>
      <c r="D184" s="245"/>
      <c r="E184" s="57"/>
      <c r="F184" s="56">
        <f>IF(B184=0,0,60*C184)</f>
        <v>0</v>
      </c>
    </row>
    <row r="185" spans="2:8" ht="15.75" thickBot="1" x14ac:dyDescent="0.3">
      <c r="B185" s="44"/>
      <c r="C185" s="44"/>
      <c r="D185" s="245"/>
      <c r="E185" s="57"/>
      <c r="F185" s="56">
        <f>IF(B185=0,0,60*C185)</f>
        <v>0</v>
      </c>
    </row>
    <row r="186" spans="2:8" ht="15.75" thickBot="1" x14ac:dyDescent="0.3">
      <c r="B186" s="98" t="s">
        <v>130</v>
      </c>
      <c r="C186" s="36"/>
      <c r="D186" s="260"/>
      <c r="E186" s="37"/>
      <c r="F186" s="54">
        <f>SUM(F188:F192)</f>
        <v>0</v>
      </c>
    </row>
    <row r="187" spans="2:8" ht="60" x14ac:dyDescent="0.25">
      <c r="B187" s="261" t="s">
        <v>484</v>
      </c>
      <c r="C187" s="36" t="s">
        <v>86</v>
      </c>
      <c r="D187" s="245"/>
      <c r="E187" s="49"/>
      <c r="F187" s="76"/>
    </row>
    <row r="188" spans="2:8" x14ac:dyDescent="0.25">
      <c r="B188" s="188" t="s">
        <v>128</v>
      </c>
      <c r="C188" s="44"/>
      <c r="D188" s="245"/>
      <c r="E188" s="36"/>
      <c r="F188" s="56">
        <f>IF(B188=0,0,60*C188)</f>
        <v>0</v>
      </c>
      <c r="H188" s="227">
        <f>IF(C188=0,0,IF(AND(C188&gt;0,C188&lt;=5),"OK","trebuie maxim 5 ani"))</f>
        <v>0</v>
      </c>
    </row>
    <row r="189" spans="2:8" x14ac:dyDescent="0.25">
      <c r="B189" s="188" t="s">
        <v>129</v>
      </c>
      <c r="C189" s="44"/>
      <c r="D189" s="245"/>
      <c r="E189" s="57"/>
      <c r="F189" s="56">
        <f>IF(B189=0,0,60*C189)</f>
        <v>0</v>
      </c>
      <c r="H189" s="227">
        <f>IF(C189=0,0,IF(AND(C189&gt;0,C189&lt;=5),"OK","trebuie maxim 5 ani"))</f>
        <v>0</v>
      </c>
    </row>
    <row r="190" spans="2:8" x14ac:dyDescent="0.25">
      <c r="B190" s="188" t="s">
        <v>145</v>
      </c>
      <c r="C190" s="44"/>
      <c r="D190" s="245"/>
      <c r="E190" s="57"/>
      <c r="F190" s="56">
        <f>IF(B190=0,0,40*C190)</f>
        <v>0</v>
      </c>
      <c r="H190" s="227">
        <f t="shared" ref="H190:H192" si="14">IF(C190=0,0,IF(AND(C190&gt;0,C190&lt;=5),"OK","trebuie maxim 5 ani"))</f>
        <v>0</v>
      </c>
    </row>
    <row r="191" spans="2:8" s="317" customFormat="1" x14ac:dyDescent="0.25">
      <c r="B191" s="188" t="s">
        <v>482</v>
      </c>
      <c r="C191" s="44"/>
      <c r="D191" s="315"/>
      <c r="E191" s="316"/>
      <c r="F191" s="56">
        <f>IF(B191=0,0,50*C191)</f>
        <v>0</v>
      </c>
      <c r="H191" s="227">
        <f t="shared" si="14"/>
        <v>0</v>
      </c>
    </row>
    <row r="192" spans="2:8" ht="15.75" thickBot="1" x14ac:dyDescent="0.3">
      <c r="B192" s="188" t="s">
        <v>483</v>
      </c>
      <c r="C192" s="44"/>
      <c r="D192" s="245"/>
      <c r="E192" s="57"/>
      <c r="F192" s="56">
        <f>IF(B192=0,0,60*C192)</f>
        <v>0</v>
      </c>
      <c r="H192" s="227">
        <f t="shared" si="14"/>
        <v>0</v>
      </c>
    </row>
    <row r="193" spans="2:6" ht="30.75" thickBot="1" x14ac:dyDescent="0.3">
      <c r="B193" s="98" t="s">
        <v>73</v>
      </c>
      <c r="C193" s="44"/>
      <c r="D193" s="260"/>
      <c r="E193" s="37">
        <f>SUM(E195:E199)+SUM(E201:E205)</f>
        <v>0</v>
      </c>
      <c r="F193" s="54">
        <f>F194+F200</f>
        <v>0</v>
      </c>
    </row>
    <row r="194" spans="2:6" ht="60" customHeight="1" thickBot="1" x14ac:dyDescent="0.3">
      <c r="B194" s="188" t="s">
        <v>74</v>
      </c>
      <c r="C194" s="380" t="s">
        <v>146</v>
      </c>
      <c r="D194" s="381"/>
      <c r="E194" s="262" t="s">
        <v>88</v>
      </c>
      <c r="F194" s="54">
        <f>SUM(F195:F199)</f>
        <v>0</v>
      </c>
    </row>
    <row r="195" spans="2:6" x14ac:dyDescent="0.25">
      <c r="B195" s="44"/>
      <c r="C195" s="44"/>
      <c r="D195" s="254"/>
      <c r="E195" s="44"/>
      <c r="F195" s="56">
        <f>IF(OR(E195=0,C195=0),0,IF(C195="presedinte",30*E195,IF(C195="vicepresedinte",20*E195,15*E195)))</f>
        <v>0</v>
      </c>
    </row>
    <row r="196" spans="2:6" x14ac:dyDescent="0.25">
      <c r="B196" s="44"/>
      <c r="C196" s="44"/>
      <c r="D196" s="254"/>
      <c r="E196" s="44"/>
      <c r="F196" s="56">
        <f>IF(OR(E196=0,C196=0),0,IF(C196="presedinte",30*E196,IF(C196="vicepresedinte",20*E196,15*E196)))</f>
        <v>0</v>
      </c>
    </row>
    <row r="197" spans="2:6" x14ac:dyDescent="0.25">
      <c r="B197" s="44"/>
      <c r="C197" s="44"/>
      <c r="D197" s="254"/>
      <c r="E197" s="44"/>
      <c r="F197" s="56">
        <f>IF(OR(E197=0,C197=0),0,IF(C197="presedinte",30*E197,IF(C197="vicepresedinte",20*E197,15*E197)))</f>
        <v>0</v>
      </c>
    </row>
    <row r="198" spans="2:6" x14ac:dyDescent="0.25">
      <c r="B198" s="44"/>
      <c r="C198" s="44"/>
      <c r="D198" s="254"/>
      <c r="E198" s="44"/>
      <c r="F198" s="56">
        <f>IF(OR(E198=0,C198=0),0,IF(C198="presedinte",30*E198,IF(C198="vicepresedinte",20*E198,15*E198)))</f>
        <v>0</v>
      </c>
    </row>
    <row r="199" spans="2:6" ht="15.75" thickBot="1" x14ac:dyDescent="0.3">
      <c r="B199" s="44"/>
      <c r="C199" s="44"/>
      <c r="D199" s="254"/>
      <c r="E199" s="44"/>
      <c r="F199" s="56">
        <f>IF(OR(E199=0,C199=0),0,IF(C199="presedinte",30*E199,IF(C199="vicepresedinte",20*E199,15*E199)))</f>
        <v>0</v>
      </c>
    </row>
    <row r="200" spans="2:6" ht="60" customHeight="1" thickBot="1" x14ac:dyDescent="0.3">
      <c r="B200" s="188" t="s">
        <v>75</v>
      </c>
      <c r="C200" s="380" t="s">
        <v>146</v>
      </c>
      <c r="D200" s="381"/>
      <c r="E200" s="262" t="s">
        <v>88</v>
      </c>
      <c r="F200" s="54">
        <f>SUM(F201:F205)</f>
        <v>0</v>
      </c>
    </row>
    <row r="201" spans="2:6" x14ac:dyDescent="0.25">
      <c r="B201" s="44"/>
      <c r="C201" s="44"/>
      <c r="D201" s="254"/>
      <c r="E201" s="44"/>
      <c r="F201" s="56">
        <f>IF(OR(E201=0,C201=0),0,IF(C201="presedinte",60*E201,IF(C201="vicepresedinte",40*E201,30*E201)))</f>
        <v>0</v>
      </c>
    </row>
    <row r="202" spans="2:6" x14ac:dyDescent="0.25">
      <c r="B202" s="44"/>
      <c r="C202" s="44"/>
      <c r="D202" s="254"/>
      <c r="E202" s="44"/>
      <c r="F202" s="56">
        <f>IF(OR(E202=0,C202=0),0,IF(C202="presedinte",60*E202,IF(C202="vicepresedinte",40*E202,30*E202)))</f>
        <v>0</v>
      </c>
    </row>
    <row r="203" spans="2:6" x14ac:dyDescent="0.25">
      <c r="B203" s="44"/>
      <c r="C203" s="44"/>
      <c r="D203" s="254"/>
      <c r="E203" s="44"/>
      <c r="F203" s="56">
        <f>IF(OR(E203=0,C203=0),0,IF(C203="presedinte",60*E203,IF(C203="vicepresedinte",40*E203,30*E203)))</f>
        <v>0</v>
      </c>
    </row>
    <row r="204" spans="2:6" x14ac:dyDescent="0.25">
      <c r="B204" s="44"/>
      <c r="C204" s="44"/>
      <c r="D204" s="254"/>
      <c r="E204" s="44"/>
      <c r="F204" s="56">
        <f>IF(OR(E204=0,C204=0),0,IF(C204="presedinte",60*E204,IF(C204="vicepresedinte",40*E204,30*E204)))</f>
        <v>0</v>
      </c>
    </row>
    <row r="205" spans="2:6" ht="15.75" thickBot="1" x14ac:dyDescent="0.3">
      <c r="B205" s="44"/>
      <c r="C205" s="44"/>
      <c r="D205" s="254"/>
      <c r="E205" s="63"/>
      <c r="F205" s="56">
        <f>IF(OR(E205=0,C205=0),0,IF(C205="presedinte",60*E205,IF(C205="vicepresedinte",40*E205,30*E205)))</f>
        <v>0</v>
      </c>
    </row>
    <row r="206" spans="2:6" ht="15.75" customHeight="1" thickBot="1" x14ac:dyDescent="0.3">
      <c r="B206" s="39" t="s">
        <v>76</v>
      </c>
      <c r="C206" s="36"/>
      <c r="D206" s="260"/>
      <c r="E206" s="37">
        <f>SUM(E208:E211)+SUM(E213:E216)</f>
        <v>0</v>
      </c>
      <c r="F206" s="54">
        <f>F207+F212</f>
        <v>0</v>
      </c>
    </row>
    <row r="207" spans="2:6" ht="32.25" customHeight="1" thickBot="1" x14ac:dyDescent="0.3">
      <c r="B207" s="188" t="s">
        <v>77</v>
      </c>
      <c r="C207" s="36"/>
      <c r="D207" s="245"/>
      <c r="E207" s="262" t="s">
        <v>88</v>
      </c>
      <c r="F207" s="54">
        <f>SUM(F208:F211)</f>
        <v>0</v>
      </c>
    </row>
    <row r="208" spans="2:6" x14ac:dyDescent="0.25">
      <c r="B208" s="44"/>
      <c r="C208" s="44"/>
      <c r="D208" s="254"/>
      <c r="E208" s="44"/>
      <c r="F208" s="56">
        <f>IF(B208=0,0,10*E208)</f>
        <v>0</v>
      </c>
    </row>
    <row r="209" spans="2:8" x14ac:dyDescent="0.25">
      <c r="B209" s="44"/>
      <c r="C209" s="44"/>
      <c r="D209" s="254"/>
      <c r="E209" s="44"/>
      <c r="F209" s="56">
        <f>IF(B209=0,0,10*E209)</f>
        <v>0</v>
      </c>
    </row>
    <row r="210" spans="2:8" x14ac:dyDescent="0.25">
      <c r="B210" s="44"/>
      <c r="C210" s="44"/>
      <c r="D210" s="254"/>
      <c r="E210" s="44"/>
      <c r="F210" s="56">
        <f>IF(B210=0,0,10*E210)</f>
        <v>0</v>
      </c>
    </row>
    <row r="211" spans="2:8" ht="15.75" thickBot="1" x14ac:dyDescent="0.3">
      <c r="B211" s="44"/>
      <c r="C211" s="44"/>
      <c r="D211" s="254"/>
      <c r="E211" s="44"/>
      <c r="F211" s="56">
        <f>IF(B211=0,0,10*E211)</f>
        <v>0</v>
      </c>
    </row>
    <row r="212" spans="2:8" ht="33" customHeight="1" thickBot="1" x14ac:dyDescent="0.3">
      <c r="B212" s="188" t="s">
        <v>78</v>
      </c>
      <c r="C212" s="36"/>
      <c r="D212" s="245"/>
      <c r="E212" s="262" t="s">
        <v>88</v>
      </c>
      <c r="F212" s="54">
        <f>SUM(F213:F216)</f>
        <v>0</v>
      </c>
    </row>
    <row r="213" spans="2:8" x14ac:dyDescent="0.25">
      <c r="B213" s="44"/>
      <c r="C213" s="44"/>
      <c r="D213" s="254"/>
      <c r="E213" s="44"/>
      <c r="F213" s="56">
        <f>IF(B213=0,0,20*E213)</f>
        <v>0</v>
      </c>
    </row>
    <row r="214" spans="2:8" x14ac:dyDescent="0.25">
      <c r="B214" s="44"/>
      <c r="C214" s="44"/>
      <c r="D214" s="254"/>
      <c r="E214" s="63"/>
      <c r="F214" s="56">
        <f>IF(B214=0,0,20*E214)</f>
        <v>0</v>
      </c>
    </row>
    <row r="215" spans="2:8" x14ac:dyDescent="0.25">
      <c r="B215" s="44"/>
      <c r="C215" s="44"/>
      <c r="D215" s="254"/>
      <c r="E215" s="63"/>
      <c r="F215" s="56">
        <f>IF(B215=0,0,20*E215)</f>
        <v>0</v>
      </c>
    </row>
    <row r="216" spans="2:8" ht="15.75" thickBot="1" x14ac:dyDescent="0.3">
      <c r="B216" s="44"/>
      <c r="C216" s="44"/>
      <c r="D216" s="254"/>
      <c r="E216" s="63"/>
      <c r="F216" s="56">
        <f>IF(B216=0,0,20*E216)</f>
        <v>0</v>
      </c>
    </row>
    <row r="217" spans="2:8" ht="15.75" customHeight="1" thickBot="1" x14ac:dyDescent="0.3">
      <c r="B217" s="307" t="s">
        <v>465</v>
      </c>
      <c r="C217" s="36" t="s">
        <v>86</v>
      </c>
      <c r="D217" s="260"/>
      <c r="E217" s="37">
        <f>C218</f>
        <v>0</v>
      </c>
      <c r="F217" s="223">
        <f>F218</f>
        <v>0</v>
      </c>
    </row>
    <row r="218" spans="2:8" ht="15.75" thickBot="1" x14ac:dyDescent="0.3">
      <c r="B218" s="188" t="s">
        <v>132</v>
      </c>
      <c r="C218" s="44"/>
      <c r="D218" s="245"/>
      <c r="E218" s="36"/>
      <c r="F218" s="56">
        <f>IF(B218=0,0,40*C218)</f>
        <v>0</v>
      </c>
      <c r="H218" s="227">
        <f>IF(C218=0,0,IF(AND(C218&gt;0,C218&lt;=5),"OK","trebuie maxim 5 ani"))</f>
        <v>0</v>
      </c>
    </row>
    <row r="219" spans="2:8" ht="30.75" thickBot="1" x14ac:dyDescent="0.3">
      <c r="B219" s="98" t="s">
        <v>277</v>
      </c>
      <c r="C219" s="36" t="s">
        <v>89</v>
      </c>
      <c r="D219" s="260"/>
      <c r="E219" s="37">
        <f>C220+C221</f>
        <v>0</v>
      </c>
      <c r="F219" s="54">
        <f>SUM(F220:F221)</f>
        <v>0</v>
      </c>
    </row>
    <row r="220" spans="2:8" x14ac:dyDescent="0.25">
      <c r="B220" s="188" t="s">
        <v>131</v>
      </c>
      <c r="C220" s="44"/>
      <c r="D220" s="245"/>
      <c r="E220" s="36"/>
      <c r="F220" s="56">
        <f>IF(B220=0,0,50*C220)</f>
        <v>0</v>
      </c>
    </row>
    <row r="221" spans="2:8" ht="15.75" thickBot="1" x14ac:dyDescent="0.3">
      <c r="B221" s="188" t="s">
        <v>276</v>
      </c>
      <c r="C221" s="44"/>
      <c r="D221" s="245"/>
      <c r="E221" s="57"/>
      <c r="F221" s="56">
        <f>IF(B221=0,0,50*C221)</f>
        <v>0</v>
      </c>
    </row>
    <row r="222" spans="2:8" ht="30.75" thickBot="1" x14ac:dyDescent="0.3">
      <c r="B222" s="98" t="s">
        <v>311</v>
      </c>
      <c r="C222" s="36"/>
      <c r="D222" s="260"/>
      <c r="E222" s="37">
        <f>COUNTA(B223:B226)</f>
        <v>0</v>
      </c>
      <c r="F222" s="54">
        <f>SUM(F223:F226)</f>
        <v>0</v>
      </c>
    </row>
    <row r="223" spans="2:8" x14ac:dyDescent="0.25">
      <c r="B223" s="149"/>
      <c r="C223" s="36"/>
      <c r="D223" s="245"/>
      <c r="E223" s="49"/>
      <c r="F223" s="56">
        <f>IF(B223=0,0,50)</f>
        <v>0</v>
      </c>
    </row>
    <row r="224" spans="2:8" x14ac:dyDescent="0.25">
      <c r="B224" s="149"/>
      <c r="C224" s="36"/>
      <c r="D224" s="245"/>
      <c r="E224" s="49"/>
      <c r="F224" s="56">
        <f>IF(B224=0,0,50)</f>
        <v>0</v>
      </c>
    </row>
    <row r="225" spans="2:6" x14ac:dyDescent="0.25">
      <c r="B225" s="149"/>
      <c r="C225" s="36"/>
      <c r="D225" s="245"/>
      <c r="E225" s="49"/>
      <c r="F225" s="56">
        <f>IF(B225=0,0,50)</f>
        <v>0</v>
      </c>
    </row>
    <row r="226" spans="2:6" ht="15.75" thickBot="1" x14ac:dyDescent="0.3">
      <c r="B226" s="44"/>
      <c r="C226" s="44"/>
      <c r="D226" s="36"/>
      <c r="E226" s="36"/>
      <c r="F226" s="263">
        <f>IF(B226=0,0,50)</f>
        <v>0</v>
      </c>
    </row>
    <row r="227" spans="2:6" ht="15.75" thickBot="1" x14ac:dyDescent="0.3">
      <c r="B227" s="307" t="s">
        <v>302</v>
      </c>
      <c r="C227" s="36" t="s">
        <v>298</v>
      </c>
      <c r="D227" s="36"/>
      <c r="E227" s="58"/>
      <c r="F227" s="232">
        <f>F228</f>
        <v>0</v>
      </c>
    </row>
    <row r="228" spans="2:6" ht="15.75" thickBot="1" x14ac:dyDescent="0.3">
      <c r="B228" s="301"/>
      <c r="C228" s="44"/>
      <c r="D228" s="36"/>
      <c r="E228" s="36"/>
      <c r="F228" s="263">
        <f>10*C228</f>
        <v>0</v>
      </c>
    </row>
    <row r="229" spans="2:6" ht="15.75" thickBot="1" x14ac:dyDescent="0.3">
      <c r="B229" s="307" t="s">
        <v>466</v>
      </c>
      <c r="C229" s="36" t="s">
        <v>298</v>
      </c>
      <c r="D229" s="245"/>
      <c r="E229" s="57"/>
      <c r="F229" s="232">
        <f>F230</f>
        <v>0</v>
      </c>
    </row>
    <row r="230" spans="2:6" ht="15.75" thickBot="1" x14ac:dyDescent="0.3">
      <c r="B230" s="301"/>
      <c r="C230" s="44"/>
      <c r="D230" s="245"/>
      <c r="E230" s="57"/>
      <c r="F230" s="48">
        <f>30*C230</f>
        <v>0</v>
      </c>
    </row>
    <row r="231" spans="2:6" ht="15.75" thickBot="1" x14ac:dyDescent="0.3">
      <c r="B231" s="307" t="s">
        <v>301</v>
      </c>
      <c r="C231" s="36" t="s">
        <v>86</v>
      </c>
      <c r="D231" s="245"/>
      <c r="E231" s="249"/>
      <c r="F231" s="232">
        <f>SUM(F232:F234)</f>
        <v>0</v>
      </c>
    </row>
    <row r="232" spans="2:6" x14ac:dyDescent="0.25">
      <c r="B232" s="303" t="s">
        <v>467</v>
      </c>
      <c r="C232" s="44"/>
      <c r="D232" s="245"/>
      <c r="E232" s="57"/>
      <c r="F232" s="56">
        <f>20*C232</f>
        <v>0</v>
      </c>
    </row>
    <row r="233" spans="2:6" x14ac:dyDescent="0.25">
      <c r="B233" s="303" t="s">
        <v>468</v>
      </c>
      <c r="C233" s="44"/>
      <c r="D233" s="245"/>
      <c r="E233" s="57"/>
      <c r="F233" s="56">
        <f>30*C233</f>
        <v>0</v>
      </c>
    </row>
    <row r="234" spans="2:6" ht="15.75" thickBot="1" x14ac:dyDescent="0.3">
      <c r="B234" s="308" t="s">
        <v>469</v>
      </c>
      <c r="C234" s="63"/>
      <c r="D234" s="248"/>
      <c r="E234" s="57"/>
      <c r="F234" s="48">
        <f>40*C234</f>
        <v>0</v>
      </c>
    </row>
    <row r="235" spans="2:6" ht="15.75" thickBot="1" x14ac:dyDescent="0.3">
      <c r="B235" s="307" t="s">
        <v>362</v>
      </c>
      <c r="C235" s="36" t="s">
        <v>86</v>
      </c>
      <c r="D235" s="36"/>
      <c r="E235" s="58"/>
      <c r="F235" s="232">
        <f>F236</f>
        <v>0</v>
      </c>
    </row>
    <row r="236" spans="2:6" ht="15.75" thickBot="1" x14ac:dyDescent="0.3">
      <c r="B236" s="300"/>
      <c r="C236" s="44"/>
      <c r="D236" s="36"/>
      <c r="E236" s="57"/>
      <c r="F236" s="48">
        <f>IF(B236=0,0,20*C236)</f>
        <v>0</v>
      </c>
    </row>
    <row r="237" spans="2:6" ht="15.75" thickBot="1" x14ac:dyDescent="0.3">
      <c r="B237" s="307" t="s">
        <v>333</v>
      </c>
      <c r="C237" s="36" t="s">
        <v>299</v>
      </c>
      <c r="D237" s="58"/>
      <c r="E237" s="264">
        <f>C238+C239</f>
        <v>0</v>
      </c>
      <c r="F237" s="185">
        <f>F238+F239</f>
        <v>0</v>
      </c>
    </row>
    <row r="238" spans="2:6" x14ac:dyDescent="0.25">
      <c r="B238" s="309" t="s">
        <v>361</v>
      </c>
      <c r="C238" s="44"/>
      <c r="D238" s="36"/>
      <c r="E238" s="35"/>
      <c r="F238" s="56">
        <f>15*C238</f>
        <v>0</v>
      </c>
    </row>
    <row r="239" spans="2:6" ht="15.75" thickBot="1" x14ac:dyDescent="0.3">
      <c r="B239" s="309" t="s">
        <v>360</v>
      </c>
      <c r="C239" s="44"/>
      <c r="D239" s="36"/>
      <c r="E239" s="36"/>
      <c r="F239" s="66">
        <f>30*C239</f>
        <v>0</v>
      </c>
    </row>
    <row r="240" spans="2:6" ht="30.75" thickBot="1" x14ac:dyDescent="0.3">
      <c r="B240" s="310" t="s">
        <v>358</v>
      </c>
      <c r="C240" s="36" t="s">
        <v>299</v>
      </c>
      <c r="D240" s="248"/>
      <c r="E240" s="47"/>
      <c r="F240" s="232">
        <f>F241</f>
        <v>0</v>
      </c>
    </row>
    <row r="241" spans="2:6" ht="15.75" thickBot="1" x14ac:dyDescent="0.3">
      <c r="B241" s="301"/>
      <c r="C241" s="44"/>
      <c r="D241" s="36"/>
      <c r="E241" s="36"/>
      <c r="F241" s="48">
        <f>15*C241</f>
        <v>0</v>
      </c>
    </row>
    <row r="242" spans="2:6" ht="15.75" thickBot="1" x14ac:dyDescent="0.3">
      <c r="B242" s="311" t="s">
        <v>337</v>
      </c>
      <c r="C242" s="36" t="s">
        <v>86</v>
      </c>
      <c r="D242" s="36"/>
      <c r="E242" s="58"/>
      <c r="F242" s="232">
        <f>F243</f>
        <v>0</v>
      </c>
    </row>
    <row r="243" spans="2:6" ht="15.75" thickBot="1" x14ac:dyDescent="0.3">
      <c r="B243" s="301"/>
      <c r="C243" s="44"/>
      <c r="D243" s="36"/>
      <c r="E243" s="36"/>
      <c r="F243" s="56">
        <f>10*C243</f>
        <v>0</v>
      </c>
    </row>
    <row r="244" spans="2:6" ht="30.75" thickBot="1" x14ac:dyDescent="0.3">
      <c r="B244" s="312" t="s">
        <v>470</v>
      </c>
      <c r="C244" s="36" t="s">
        <v>90</v>
      </c>
      <c r="D244" s="260"/>
      <c r="E244" s="37">
        <f>C245+C246+C247</f>
        <v>0</v>
      </c>
      <c r="F244" s="54">
        <f>SUM(F245:F247)</f>
        <v>0</v>
      </c>
    </row>
    <row r="245" spans="2:6" x14ac:dyDescent="0.25">
      <c r="B245" s="194" t="s">
        <v>133</v>
      </c>
      <c r="C245" s="44"/>
      <c r="D245" s="245"/>
      <c r="E245" s="36"/>
      <c r="F245" s="56">
        <f>IF(B245=0,0,5*C245)</f>
        <v>0</v>
      </c>
    </row>
    <row r="246" spans="2:6" x14ac:dyDescent="0.25">
      <c r="B246" s="194" t="s">
        <v>134</v>
      </c>
      <c r="C246" s="44"/>
      <c r="D246" s="245"/>
      <c r="E246" s="57"/>
      <c r="F246" s="56">
        <f>IF(B246=0,0,5*C246)</f>
        <v>0</v>
      </c>
    </row>
    <row r="247" spans="2:6" ht="15.75" thickBot="1" x14ac:dyDescent="0.3">
      <c r="B247" s="194" t="s">
        <v>135</v>
      </c>
      <c r="C247" s="44"/>
      <c r="D247" s="245"/>
      <c r="E247" s="57"/>
      <c r="F247" s="48">
        <f>IF(B247=0,0,5*C247)</f>
        <v>0</v>
      </c>
    </row>
    <row r="248" spans="2:6" ht="15.75" customHeight="1" thickBot="1" x14ac:dyDescent="0.3">
      <c r="B248" s="39" t="s">
        <v>359</v>
      </c>
      <c r="C248" s="36"/>
      <c r="D248" s="259"/>
      <c r="E248" s="37">
        <f>E249+E254</f>
        <v>0</v>
      </c>
      <c r="F248" s="223">
        <f>F249+F254</f>
        <v>0</v>
      </c>
    </row>
    <row r="249" spans="2:6" ht="15.75" thickBot="1" x14ac:dyDescent="0.3">
      <c r="B249" s="194" t="s">
        <v>79</v>
      </c>
      <c r="C249" s="36" t="s">
        <v>91</v>
      </c>
      <c r="D249" s="245"/>
      <c r="E249" s="49">
        <f>SUM(C250:C253)</f>
        <v>0</v>
      </c>
      <c r="F249" s="54">
        <f>SUM(F250:F253)</f>
        <v>0</v>
      </c>
    </row>
    <row r="250" spans="2:6" x14ac:dyDescent="0.25">
      <c r="B250" s="44"/>
      <c r="C250" s="44"/>
      <c r="D250" s="245"/>
      <c r="E250" s="36"/>
      <c r="F250" s="56">
        <f>IF(B250=0,0,20*C250)</f>
        <v>0</v>
      </c>
    </row>
    <row r="251" spans="2:6" x14ac:dyDescent="0.25">
      <c r="B251" s="44"/>
      <c r="C251" s="44"/>
      <c r="D251" s="245"/>
      <c r="E251" s="36"/>
      <c r="F251" s="56">
        <f>IF(B251=0,0,20*C251)</f>
        <v>0</v>
      </c>
    </row>
    <row r="252" spans="2:6" x14ac:dyDescent="0.25">
      <c r="B252" s="44"/>
      <c r="C252" s="44"/>
      <c r="D252" s="245"/>
      <c r="E252" s="36"/>
      <c r="F252" s="56">
        <f>IF(B252=0,0,20*C252)</f>
        <v>0</v>
      </c>
    </row>
    <row r="253" spans="2:6" ht="15.75" thickBot="1" x14ac:dyDescent="0.3">
      <c r="B253" s="44"/>
      <c r="C253" s="44"/>
      <c r="D253" s="245"/>
      <c r="E253" s="36"/>
      <c r="F253" s="56">
        <f>IF(B253=0,0,20*C253)</f>
        <v>0</v>
      </c>
    </row>
    <row r="254" spans="2:6" ht="15.75" thickBot="1" x14ac:dyDescent="0.3">
      <c r="B254" s="313" t="s">
        <v>471</v>
      </c>
      <c r="C254" s="36" t="s">
        <v>91</v>
      </c>
      <c r="D254" s="245"/>
      <c r="E254" s="58">
        <f>SUM(C255:C257)</f>
        <v>0</v>
      </c>
      <c r="F254" s="54">
        <f>SUM(F255:F257)</f>
        <v>0</v>
      </c>
    </row>
    <row r="255" spans="2:6" x14ac:dyDescent="0.25">
      <c r="B255" s="44"/>
      <c r="C255" s="44"/>
      <c r="D255" s="245"/>
      <c r="E255" s="36"/>
      <c r="F255" s="56">
        <f>IF(B255=0,0,60*C255)</f>
        <v>0</v>
      </c>
    </row>
    <row r="256" spans="2:6" x14ac:dyDescent="0.25">
      <c r="B256" s="44"/>
      <c r="C256" s="44"/>
      <c r="D256" s="248"/>
      <c r="E256" s="57"/>
      <c r="F256" s="56">
        <f t="shared" ref="F256:F257" si="15">IF(B256=0,0,60*C256)</f>
        <v>0</v>
      </c>
    </row>
    <row r="257" spans="2:6" ht="15.75" thickBot="1" x14ac:dyDescent="0.3">
      <c r="B257" s="233"/>
      <c r="C257" s="233"/>
      <c r="D257" s="265"/>
      <c r="E257" s="68"/>
      <c r="F257" s="56">
        <f t="shared" si="15"/>
        <v>0</v>
      </c>
    </row>
    <row r="258" spans="2:6" x14ac:dyDescent="0.25">
      <c r="B258" s="266"/>
      <c r="C258" s="266"/>
      <c r="D258" s="266"/>
      <c r="E258" s="266"/>
      <c r="F258" s="267"/>
    </row>
    <row r="259" spans="2:6" x14ac:dyDescent="0.25">
      <c r="B259" s="268"/>
      <c r="C259" s="268"/>
      <c r="D259" s="268"/>
      <c r="E259" s="268"/>
      <c r="F259" s="269"/>
    </row>
    <row r="260" spans="2:6" x14ac:dyDescent="0.25">
      <c r="B260" s="268"/>
      <c r="C260" s="268"/>
      <c r="D260" s="268"/>
      <c r="E260" s="268"/>
      <c r="F260" s="269"/>
    </row>
  </sheetData>
  <sheetProtection password="CE9C" sheet="1" objects="1" scenarios="1" formatCells="0" formatColumns="0" formatRows="0" insertRows="0"/>
  <mergeCells count="6">
    <mergeCell ref="C194:D194"/>
    <mergeCell ref="C200:D200"/>
    <mergeCell ref="C2:D2"/>
    <mergeCell ref="C3:D3"/>
    <mergeCell ref="E2:F2"/>
    <mergeCell ref="E3:F3"/>
  </mergeCells>
  <conditionalFormatting sqref="I98:I115 I164:I167 I159:I162">
    <cfRule type="containsText" dxfId="7" priority="45" stopIfTrue="1" operator="containsText" text="Revista cu punctaj peste 1">
      <formula>NOT(ISERROR(SEARCH("Revista cu punctaj peste 1",I98)))</formula>
    </cfRule>
    <cfRule type="containsText" dxfId="6" priority="46" stopIfTrue="1" operator="containsText" text="OK">
      <formula>NOT(ISERROR(SEARCH("OK",I98)))</formula>
    </cfRule>
  </conditionalFormatting>
  <conditionalFormatting sqref="I83:I96 I164:I167 I159:I162">
    <cfRule type="containsText" dxfId="5" priority="43" stopIfTrue="1" operator="containsText" text="Revista cu punctaj sub 1">
      <formula>NOT(ISERROR(SEARCH("Revista cu punctaj sub 1",I83)))</formula>
    </cfRule>
    <cfRule type="containsText" dxfId="4" priority="44" stopIfTrue="1" operator="containsText" text="OK">
      <formula>NOT(ISERROR(SEARCH("OK",I83)))</formula>
    </cfRule>
  </conditionalFormatting>
  <conditionalFormatting sqref="H51:H55 H12:H14 H16:H18 H20:H22 H25:H35 H57:H61 H188:H192">
    <cfRule type="cellIs" dxfId="3" priority="41" stopIfTrue="1" operator="equal">
      <formula>"ok"</formula>
    </cfRule>
    <cfRule type="cellIs" dxfId="2" priority="42" stopIfTrue="1" operator="equal">
      <formula>"""OK"""</formula>
    </cfRule>
  </conditionalFormatting>
  <conditionalFormatting sqref="H218">
    <cfRule type="cellIs" dxfId="1" priority="1" stopIfTrue="1" operator="equal">
      <formula>"ok"</formula>
    </cfRule>
    <cfRule type="cellIs" dxfId="0" priority="2" stopIfTrue="1" operator="equal">
      <formula>"""OK"""</formula>
    </cfRule>
  </conditionalFormatting>
  <pageMargins left="0.11811023622047245" right="0.11811023622047245" top="0.15748031496062992" bottom="0.15748031496062992" header="0.11811023622047245" footer="0.11811023622047245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1" r:id="rId12"/>
      </mc:Fallback>
    </mc:AlternateContent>
    <mc:AlternateContent xmlns:mc="http://schemas.openxmlformats.org/markup-compatibility/2006">
      <mc:Choice Requires="x14">
        <oleObject progId="Equation.3" shapeId="4102" r:id="rId14">
          <objectPr defaultSize="0" autoPict="0" r:id="rId1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2" r:id="rId14"/>
      </mc:Fallback>
    </mc:AlternateContent>
    <mc:AlternateContent xmlns:mc="http://schemas.openxmlformats.org/markup-compatibility/2006">
      <mc:Choice Requires="x14">
        <oleObject progId="Equation.3" shapeId="4103" r:id="rId16">
          <objectPr defaultSize="0" autoPict="0" r:id="rId17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3" r:id="rId16"/>
      </mc:Fallback>
    </mc:AlternateContent>
    <mc:AlternateContent xmlns:mc="http://schemas.openxmlformats.org/markup-compatibility/2006">
      <mc:Choice Requires="x14">
        <oleObject progId="Equation.3" shapeId="4104" r:id="rId18">
          <objectPr defaultSize="0" autoPict="0" r:id="rId19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4" r:id="rId18"/>
      </mc:Fallback>
    </mc:AlternateContent>
    <mc:AlternateContent xmlns:mc="http://schemas.openxmlformats.org/markup-compatibility/2006">
      <mc:Choice Requires="x14">
        <oleObject progId="Equation.3" shapeId="4105" r:id="rId20">
          <objectPr defaultSize="0" autoPict="0" r:id="rId21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5" r:id="rId20"/>
      </mc:Fallback>
    </mc:AlternateContent>
    <mc:AlternateContent xmlns:mc="http://schemas.openxmlformats.org/markup-compatibility/2006">
      <mc:Choice Requires="x14">
        <oleObject progId="Equation.3" shapeId="4106" r:id="rId22">
          <objectPr defaultSize="0" autoPict="0" r:id="rId23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106" r:id="rId22"/>
      </mc:Fallback>
    </mc:AlternateContent>
    <mc:AlternateContent xmlns:mc="http://schemas.openxmlformats.org/markup-compatibility/2006">
      <mc:Choice Requires="x14">
        <oleObject progId="Equation.3" shapeId="4107" r:id="rId24">
          <objectPr defaultSize="0" autoPict="0" r:id="rId25">
            <anchor moveWithCells="1" sizeWithCells="1">
              <from>
                <xdr:col>1</xdr:col>
                <xdr:colOff>2295525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07" r:id="rId24"/>
      </mc:Fallback>
    </mc:AlternateContent>
    <mc:AlternateContent xmlns:mc="http://schemas.openxmlformats.org/markup-compatibility/2006">
      <mc:Choice Requires="x14">
        <oleObject progId="Equation.3" shapeId="4108" r:id="rId26">
          <objectPr defaultSize="0" autoPict="0" r:id="rId27">
            <anchor moveWithCells="1" sizeWithCells="1">
              <from>
                <xdr:col>1</xdr:col>
                <xdr:colOff>2409825</xdr:colOff>
                <xdr:row>8</xdr:row>
                <xdr:rowOff>0</xdr:rowOff>
              </from>
              <to>
                <xdr:col>1</xdr:col>
                <xdr:colOff>3790950</xdr:colOff>
                <xdr:row>8</xdr:row>
                <xdr:rowOff>0</xdr:rowOff>
              </to>
            </anchor>
          </objectPr>
        </oleObject>
      </mc:Choice>
      <mc:Fallback>
        <oleObject progId="Equation.3" shapeId="4108" r:id="rId26"/>
      </mc:Fallback>
    </mc:AlternateContent>
    <mc:AlternateContent xmlns:mc="http://schemas.openxmlformats.org/markup-compatibility/2006">
      <mc:Choice Requires="x14">
        <oleObject progId="Equation.3" shapeId="4109" r:id="rId28">
          <objectPr defaultSize="0" autoPict="0" r:id="rId29">
            <anchor moveWithCells="1" sizeWithCells="1">
              <from>
                <xdr:col>1</xdr:col>
                <xdr:colOff>2238375</xdr:colOff>
                <xdr:row>8</xdr:row>
                <xdr:rowOff>0</xdr:rowOff>
              </from>
              <to>
                <xdr:col>1</xdr:col>
                <xdr:colOff>3752850</xdr:colOff>
                <xdr:row>8</xdr:row>
                <xdr:rowOff>0</xdr:rowOff>
              </to>
            </anchor>
          </objectPr>
        </oleObject>
      </mc:Choice>
      <mc:Fallback>
        <oleObject progId="Equation.3" shapeId="4109" r:id="rId28"/>
      </mc:Fallback>
    </mc:AlternateContent>
    <mc:AlternateContent xmlns:mc="http://schemas.openxmlformats.org/markup-compatibility/2006">
      <mc:Choice Requires="x14">
        <oleObject progId="Equation.3" shapeId="4110" r:id="rId30">
          <objectPr defaultSize="0" autoPict="0" r:id="rId31">
            <anchor moveWithCells="1" sizeWithCells="1">
              <from>
                <xdr:col>1</xdr:col>
                <xdr:colOff>2333625</xdr:colOff>
                <xdr:row>8</xdr:row>
                <xdr:rowOff>0</xdr:rowOff>
              </from>
              <to>
                <xdr:col>1</xdr:col>
                <xdr:colOff>3724275</xdr:colOff>
                <xdr:row>8</xdr:row>
                <xdr:rowOff>0</xdr:rowOff>
              </to>
            </anchor>
          </objectPr>
        </oleObject>
      </mc:Choice>
      <mc:Fallback>
        <oleObject progId="Equation.3" shapeId="4110" r:id="rId30"/>
      </mc:Fallback>
    </mc:AlternateContent>
    <mc:AlternateContent xmlns:mc="http://schemas.openxmlformats.org/markup-compatibility/2006">
      <mc:Choice Requires="x14">
        <oleObject progId="Equation.3" shapeId="4111" r:id="rId32">
          <objectPr defaultSize="0" autoPict="0" r:id="rId33">
            <anchor moveWithCells="1" sizeWithCells="1">
              <from>
                <xdr:col>1</xdr:col>
                <xdr:colOff>2257425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1" r:id="rId32"/>
      </mc:Fallback>
    </mc:AlternateContent>
    <mc:AlternateContent xmlns:mc="http://schemas.openxmlformats.org/markup-compatibility/2006">
      <mc:Choice Requires="x14">
        <oleObject progId="Equation.3" shapeId="4112" r:id="rId34">
          <objectPr defaultSize="0" autoPict="0" r:id="rId35">
            <anchor moveWithCells="1" sizeWithCells="1">
              <from>
                <xdr:col>1</xdr:col>
                <xdr:colOff>2343150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2" r:id="rId34"/>
      </mc:Fallback>
    </mc:AlternateContent>
    <mc:AlternateContent xmlns:mc="http://schemas.openxmlformats.org/markup-compatibility/2006">
      <mc:Choice Requires="x14">
        <oleObject progId="Equation.3" shapeId="4113" r:id="rId36">
          <objectPr defaultSize="0" autoPict="0" r:id="rId37">
            <anchor moveWithCells="1" sizeWithCells="1">
              <from>
                <xdr:col>1</xdr:col>
                <xdr:colOff>2171700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3" r:id="rId36"/>
      </mc:Fallback>
    </mc:AlternateContent>
    <mc:AlternateContent xmlns:mc="http://schemas.openxmlformats.org/markup-compatibility/2006">
      <mc:Choice Requires="x14">
        <oleObject progId="Equation.3" shapeId="4114" r:id="rId38">
          <objectPr defaultSize="0" autoPict="0" r:id="rId39">
            <anchor moveWithCells="1" sizeWithCells="1">
              <from>
                <xdr:col>1</xdr:col>
                <xdr:colOff>2247900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4" r:id="rId38"/>
      </mc:Fallback>
    </mc:AlternateContent>
    <mc:AlternateContent xmlns:mc="http://schemas.openxmlformats.org/markup-compatibility/2006">
      <mc:Choice Requires="x14">
        <oleObject progId="Equation.3" shapeId="4115" r:id="rId40">
          <objectPr defaultSize="0" autoPict="0" r:id="rId41">
            <anchor moveWithCells="1" sizeWithCells="1">
              <from>
                <xdr:col>1</xdr:col>
                <xdr:colOff>1885950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5" r:id="rId40"/>
      </mc:Fallback>
    </mc:AlternateContent>
    <mc:AlternateContent xmlns:mc="http://schemas.openxmlformats.org/markup-compatibility/2006">
      <mc:Choice Requires="x14">
        <oleObject progId="Equation.3" shapeId="4116" r:id="rId42">
          <objectPr defaultSize="0" autoPict="0" r:id="rId43">
            <anchor moveWithCells="1" sizeWithCells="1">
              <from>
                <xdr:col>1</xdr:col>
                <xdr:colOff>1905000</xdr:colOff>
                <xdr:row>8</xdr:row>
                <xdr:rowOff>0</xdr:rowOff>
              </from>
              <to>
                <xdr:col>1</xdr:col>
                <xdr:colOff>3819525</xdr:colOff>
                <xdr:row>8</xdr:row>
                <xdr:rowOff>0</xdr:rowOff>
              </to>
            </anchor>
          </objectPr>
        </oleObject>
      </mc:Choice>
      <mc:Fallback>
        <oleObject progId="Equation.3" shapeId="4116" r:id="rId4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5:K15"/>
  <sheetViews>
    <sheetView workbookViewId="0">
      <selection activeCell="H13" sqref="H13"/>
    </sheetView>
  </sheetViews>
  <sheetFormatPr defaultRowHeight="15" x14ac:dyDescent="0.25"/>
  <sheetData>
    <row r="15" spans="9:11" ht="110.25" x14ac:dyDescent="0.25">
      <c r="I15" s="179" t="s">
        <v>325</v>
      </c>
      <c r="J15" s="152"/>
      <c r="K15" s="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fisa word</vt:lpstr>
      <vt:lpstr>A. Activitate didactica</vt:lpstr>
      <vt:lpstr>B. Activitate de cercetare</vt:lpstr>
      <vt:lpstr>C. Prestigiu profesional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lastPrinted>2020-11-07T15:03:30Z</cp:lastPrinted>
  <dcterms:created xsi:type="dcterms:W3CDTF">2014-02-06T08:04:01Z</dcterms:created>
  <dcterms:modified xsi:type="dcterms:W3CDTF">2020-11-10T06:22:20Z</dcterms:modified>
</cp:coreProperties>
</file>